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David How\Documents\SACM\2019\Training\Handouts\"/>
    </mc:Choice>
  </mc:AlternateContent>
  <xr:revisionPtr revIDLastSave="0" documentId="8_{FF01B37F-C155-403F-8978-739406BB7675}" xr6:coauthVersionLast="43" xr6:coauthVersionMax="43" xr10:uidLastSave="{00000000-0000-0000-0000-000000000000}"/>
  <bookViews>
    <workbookView xWindow="-120" yWindow="-120" windowWidth="29040" windowHeight="15840" tabRatio="832" xr2:uid="{00000000-000D-0000-FFFF-FFFF00000000}"/>
  </bookViews>
  <sheets>
    <sheet name="Introduction" sheetId="11" r:id="rId1"/>
    <sheet name="Income Statement" sheetId="1" r:id="rId2"/>
    <sheet name="Balance Sheet" sheetId="4" r:id="rId3"/>
    <sheet name="Altman Z-Score" sheetId="10" r:id="rId4"/>
  </sheets>
  <definedNames>
    <definedName name="__123Graph_A" hidden="1">#REF!</definedName>
    <definedName name="HTML_CodePage" hidden="1">1252</definedName>
    <definedName name="HTML_Control" hidden="1">{"'Income Statement'!$A$1:$L$32"}</definedName>
    <definedName name="HTML_Description" hidden="1">""</definedName>
    <definedName name="HTML_Email" hidden="1">""</definedName>
    <definedName name="HTML_Header" hidden="1">"Customer Financial Analysis"</definedName>
    <definedName name="HTML_LastUpdate" hidden="1">"4/19/99"</definedName>
    <definedName name="HTML_LineAfter" hidden="1">FALSE</definedName>
    <definedName name="HTML_LineBefore" hidden="1">FALSE</definedName>
    <definedName name="HTML_Name" hidden="1">"Terry Callahan"</definedName>
    <definedName name="HTML_OBDlg2" hidden="1">TRUE</definedName>
    <definedName name="HTML_OBDlg4" hidden="1">TRUE</definedName>
    <definedName name="HTML_OS" hidden="1">0</definedName>
    <definedName name="HTML_PathFile" hidden="1">"C:\My Documents\EXCEL\crf spread Income Statement.htm"</definedName>
    <definedName name="HTML_Title" hidden="1">"Credit Research Foundation"</definedName>
    <definedName name="_xlnm.Print_Area" localSheetId="1">'Income Statement'!$A$1:$K$37</definedName>
    <definedName name="_xlnm.Print_Area" localSheetId="0">Introduction!$A$4:$L$20</definedName>
    <definedName name="TABLE" localSheetId="0">Introduction!$E$20:$E$20</definedName>
    <definedName name="TABLE_2" localSheetId="0">Introduction!$F$20:$F$20</definedName>
    <definedName name="TABLE_3" localSheetId="0">Introduction!$E$21:$E$21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 i="10" l="1"/>
  <c r="C23" i="10" l="1"/>
  <c r="J12" i="1"/>
  <c r="J15" i="1" s="1"/>
  <c r="J18" i="1" s="1"/>
  <c r="G17" i="10"/>
  <c r="C22" i="10" s="1"/>
  <c r="H12" i="1"/>
  <c r="H15" i="1" s="1"/>
  <c r="H18" i="1" s="1"/>
  <c r="F17" i="10"/>
  <c r="F12" i="1"/>
  <c r="J35" i="1"/>
  <c r="H35" i="1"/>
  <c r="K10" i="1"/>
  <c r="K12" i="1" s="1"/>
  <c r="K11" i="1"/>
  <c r="K14" i="1"/>
  <c r="K17" i="1"/>
  <c r="K20" i="1"/>
  <c r="K21" i="1"/>
  <c r="K22" i="1"/>
  <c r="K25" i="1"/>
  <c r="K26" i="1"/>
  <c r="I10" i="1"/>
  <c r="I11" i="1"/>
  <c r="I14" i="1"/>
  <c r="I17" i="1"/>
  <c r="I20" i="1"/>
  <c r="I21" i="1"/>
  <c r="I22" i="1"/>
  <c r="I25" i="1"/>
  <c r="I26" i="1"/>
  <c r="J45" i="4"/>
  <c r="J31" i="4"/>
  <c r="J38" i="4" s="1"/>
  <c r="H45" i="4"/>
  <c r="H31" i="4"/>
  <c r="H38" i="4" s="1"/>
  <c r="J53" i="4"/>
  <c r="H53" i="4"/>
  <c r="J15" i="4"/>
  <c r="J52" i="4" s="1"/>
  <c r="H15" i="4"/>
  <c r="J50" i="4"/>
  <c r="H50" i="4"/>
  <c r="J49" i="4"/>
  <c r="G9" i="10" s="1"/>
  <c r="H49" i="4"/>
  <c r="J22" i="4"/>
  <c r="G11" i="10" s="1"/>
  <c r="K19" i="4"/>
  <c r="K20" i="4"/>
  <c r="K21" i="4"/>
  <c r="H22" i="4"/>
  <c r="F11" i="10" s="1"/>
  <c r="I13" i="4"/>
  <c r="I17" i="4"/>
  <c r="I18" i="4"/>
  <c r="I19" i="4"/>
  <c r="B8" i="4"/>
  <c r="D8" i="4" s="1"/>
  <c r="F8" i="4" s="1"/>
  <c r="H8" i="4" s="1"/>
  <c r="J8" i="4" s="1"/>
  <c r="G10" i="1"/>
  <c r="E10" i="1"/>
  <c r="C10" i="1"/>
  <c r="D12" i="1"/>
  <c r="F31" i="4"/>
  <c r="F38" i="4" s="1"/>
  <c r="D31" i="4"/>
  <c r="D38" i="4" s="1"/>
  <c r="B31" i="4"/>
  <c r="B38" i="4" s="1"/>
  <c r="B12" i="1"/>
  <c r="B15" i="4"/>
  <c r="B45" i="4"/>
  <c r="D15" i="4"/>
  <c r="D45" i="4"/>
  <c r="F15" i="4"/>
  <c r="F49" i="4" s="1"/>
  <c r="F45" i="4"/>
  <c r="D8" i="1"/>
  <c r="D7" i="10" s="1"/>
  <c r="G11" i="1"/>
  <c r="G14" i="1"/>
  <c r="G17" i="1"/>
  <c r="C11" i="1"/>
  <c r="C12" i="1" s="1"/>
  <c r="C14" i="1"/>
  <c r="C17" i="1"/>
  <c r="E11" i="1"/>
  <c r="E14" i="1"/>
  <c r="E17" i="1"/>
  <c r="G20" i="1"/>
  <c r="G21" i="1"/>
  <c r="G13" i="1"/>
  <c r="G25" i="1"/>
  <c r="G26" i="1"/>
  <c r="E20" i="1"/>
  <c r="E21" i="1"/>
  <c r="E13" i="1"/>
  <c r="E25" i="1"/>
  <c r="E26" i="1"/>
  <c r="C20" i="1"/>
  <c r="C21" i="1"/>
  <c r="C13" i="1"/>
  <c r="C25" i="1"/>
  <c r="C26" i="1"/>
  <c r="A3" i="10"/>
  <c r="F53" i="4"/>
  <c r="A4" i="4"/>
  <c r="A2" i="10"/>
  <c r="A1" i="4"/>
  <c r="D50" i="4"/>
  <c r="F50" i="4"/>
  <c r="B50" i="4"/>
  <c r="C8" i="4"/>
  <c r="F8" i="1"/>
  <c r="B53" i="4" l="1"/>
  <c r="D22" i="4"/>
  <c r="E19" i="4" s="1"/>
  <c r="D49" i="4"/>
  <c r="I21" i="4"/>
  <c r="I12" i="4"/>
  <c r="K18" i="4"/>
  <c r="I20" i="4"/>
  <c r="I11" i="4"/>
  <c r="K13" i="4"/>
  <c r="H52" i="4"/>
  <c r="B22" i="4"/>
  <c r="B32" i="1" s="1"/>
  <c r="B49" i="4"/>
  <c r="C9" i="10" s="1"/>
  <c r="B52" i="4"/>
  <c r="H8" i="1"/>
  <c r="J8" i="1" s="1"/>
  <c r="E7" i="10"/>
  <c r="D15" i="1"/>
  <c r="D31" i="1" s="1"/>
  <c r="F54" i="4"/>
  <c r="B54" i="4"/>
  <c r="F52" i="4"/>
  <c r="D54" i="4"/>
  <c r="D53" i="4"/>
  <c r="D15" i="10"/>
  <c r="D52" i="4"/>
  <c r="D32" i="1"/>
  <c r="E14" i="4"/>
  <c r="D11" i="10"/>
  <c r="E18" i="4"/>
  <c r="E13" i="4"/>
  <c r="E11" i="4"/>
  <c r="E17" i="4"/>
  <c r="E12" i="4"/>
  <c r="D9" i="10"/>
  <c r="C15" i="1"/>
  <c r="B15" i="1"/>
  <c r="G12" i="1"/>
  <c r="G15" i="1" s="1"/>
  <c r="G18" i="1" s="1"/>
  <c r="F15" i="1"/>
  <c r="I12" i="1"/>
  <c r="I15" i="1" s="1"/>
  <c r="I18" i="1" s="1"/>
  <c r="C18" i="1"/>
  <c r="C23" i="1" s="1"/>
  <c r="C27" i="1" s="1"/>
  <c r="E12" i="1"/>
  <c r="E15" i="1" s="1"/>
  <c r="D46" i="4"/>
  <c r="J46" i="4"/>
  <c r="K49" i="4" s="1"/>
  <c r="H23" i="1"/>
  <c r="H31" i="1"/>
  <c r="J23" i="1"/>
  <c r="J31" i="1"/>
  <c r="F46" i="4"/>
  <c r="K15" i="1"/>
  <c r="K18" i="1" s="1"/>
  <c r="F7" i="10"/>
  <c r="G7" i="10"/>
  <c r="B46" i="4"/>
  <c r="C15" i="10"/>
  <c r="E15" i="10"/>
  <c r="H46" i="4"/>
  <c r="I49" i="4" s="1"/>
  <c r="H54" i="4"/>
  <c r="F22" i="4"/>
  <c r="E9" i="10" s="1"/>
  <c r="I14" i="4"/>
  <c r="I10" i="4"/>
  <c r="K11" i="4"/>
  <c r="J32" i="1"/>
  <c r="G15" i="10"/>
  <c r="F9" i="10"/>
  <c r="K14" i="4"/>
  <c r="K10" i="4"/>
  <c r="J54" i="4"/>
  <c r="F15" i="10"/>
  <c r="H32" i="1"/>
  <c r="K17" i="4"/>
  <c r="K12" i="4"/>
  <c r="I15" i="4" l="1"/>
  <c r="I22" i="4" s="1"/>
  <c r="C11" i="10"/>
  <c r="C10" i="4"/>
  <c r="E21" i="4"/>
  <c r="E10" i="4"/>
  <c r="E15" i="4" s="1"/>
  <c r="E22" i="4" s="1"/>
  <c r="E20" i="4"/>
  <c r="D18" i="1"/>
  <c r="D23" i="1" s="1"/>
  <c r="D13" i="10" s="1"/>
  <c r="D17" i="10" s="1"/>
  <c r="C18" i="4"/>
  <c r="C12" i="4"/>
  <c r="C11" i="4"/>
  <c r="C19" i="4"/>
  <c r="C21" i="4"/>
  <c r="C17" i="4"/>
  <c r="C13" i="4"/>
  <c r="C20" i="4"/>
  <c r="C14" i="4"/>
  <c r="F18" i="1"/>
  <c r="F23" i="1" s="1"/>
  <c r="E13" i="10" s="1"/>
  <c r="E17" i="10" s="1"/>
  <c r="C21" i="10" s="1"/>
  <c r="F31" i="1"/>
  <c r="B18" i="1"/>
  <c r="B23" i="1" s="1"/>
  <c r="B35" i="1" s="1"/>
  <c r="B31" i="1"/>
  <c r="G49" i="4"/>
  <c r="G23" i="1"/>
  <c r="G27" i="1" s="1"/>
  <c r="D35" i="1"/>
  <c r="E18" i="1"/>
  <c r="I23" i="1"/>
  <c r="I27" i="1" s="1"/>
  <c r="H27" i="1"/>
  <c r="F13" i="10"/>
  <c r="E30" i="4"/>
  <c r="E35" i="4"/>
  <c r="E42" i="4"/>
  <c r="E50" i="4" s="1"/>
  <c r="E36" i="4"/>
  <c r="E26" i="4"/>
  <c r="E37" i="4"/>
  <c r="E49" i="4"/>
  <c r="E43" i="4"/>
  <c r="E27" i="4"/>
  <c r="E33" i="4"/>
  <c r="E40" i="4"/>
  <c r="E44" i="4"/>
  <c r="E29" i="4"/>
  <c r="E28" i="4"/>
  <c r="E34" i="4"/>
  <c r="E41" i="4"/>
  <c r="G13" i="10"/>
  <c r="J27" i="1"/>
  <c r="K29" i="4"/>
  <c r="K34" i="4"/>
  <c r="K44" i="4"/>
  <c r="K26" i="4"/>
  <c r="K30" i="4"/>
  <c r="K35" i="4"/>
  <c r="K40" i="4"/>
  <c r="K42" i="4"/>
  <c r="K50" i="4" s="1"/>
  <c r="K27" i="4"/>
  <c r="K36" i="4"/>
  <c r="K41" i="4"/>
  <c r="K28" i="4"/>
  <c r="K33" i="4"/>
  <c r="K37" i="4"/>
  <c r="K43" i="4"/>
  <c r="C29" i="4"/>
  <c r="C26" i="4"/>
  <c r="C37" i="4"/>
  <c r="C43" i="4"/>
  <c r="C49" i="4"/>
  <c r="C36" i="4"/>
  <c r="C27" i="4"/>
  <c r="C33" i="4"/>
  <c r="C40" i="4"/>
  <c r="C44" i="4"/>
  <c r="C28" i="4"/>
  <c r="C34" i="4"/>
  <c r="C41" i="4"/>
  <c r="C30" i="4"/>
  <c r="C35" i="4"/>
  <c r="C42" i="4"/>
  <c r="C50" i="4" s="1"/>
  <c r="K15" i="4"/>
  <c r="K22" i="4" s="1"/>
  <c r="F32" i="1"/>
  <c r="E11" i="10"/>
  <c r="G21" i="4"/>
  <c r="G12" i="4"/>
  <c r="G17" i="4"/>
  <c r="G20" i="4"/>
  <c r="G11" i="4"/>
  <c r="G13" i="4"/>
  <c r="G18" i="4"/>
  <c r="G19" i="4"/>
  <c r="G14" i="4"/>
  <c r="G10" i="4"/>
  <c r="I28" i="4"/>
  <c r="I33" i="4"/>
  <c r="I37" i="4"/>
  <c r="I43" i="4"/>
  <c r="I29" i="4"/>
  <c r="I34" i="4"/>
  <c r="I44" i="4"/>
  <c r="I42" i="4"/>
  <c r="I50" i="4" s="1"/>
  <c r="I26" i="4"/>
  <c r="I30" i="4"/>
  <c r="I35" i="4"/>
  <c r="I40" i="4"/>
  <c r="I27" i="4"/>
  <c r="I36" i="4"/>
  <c r="I41" i="4"/>
  <c r="K23" i="1"/>
  <c r="K27" i="1" s="1"/>
  <c r="G28" i="4"/>
  <c r="G34" i="4"/>
  <c r="G41" i="4"/>
  <c r="G36" i="4"/>
  <c r="G30" i="4"/>
  <c r="G35" i="4"/>
  <c r="G42" i="4"/>
  <c r="G50" i="4" s="1"/>
  <c r="G29" i="4"/>
  <c r="G26" i="4"/>
  <c r="G37" i="4"/>
  <c r="G43" i="4"/>
  <c r="G27" i="4"/>
  <c r="G33" i="4"/>
  <c r="G40" i="4"/>
  <c r="G44" i="4"/>
  <c r="D27" i="1" l="1"/>
  <c r="D34" i="1" s="1"/>
  <c r="C15" i="4"/>
  <c r="C22" i="4" s="1"/>
  <c r="G31" i="4"/>
  <c r="G45" i="4"/>
  <c r="B27" i="1"/>
  <c r="C13" i="10"/>
  <c r="C17" i="10" s="1"/>
  <c r="F27" i="1"/>
  <c r="F35" i="1"/>
  <c r="D33" i="1"/>
  <c r="E23" i="1"/>
  <c r="E27" i="1" s="1"/>
  <c r="C45" i="4"/>
  <c r="K31" i="4"/>
  <c r="K38" i="4" s="1"/>
  <c r="J33" i="1"/>
  <c r="J34" i="1"/>
  <c r="G38" i="4"/>
  <c r="K45" i="4"/>
  <c r="E31" i="4"/>
  <c r="E38" i="4" s="1"/>
  <c r="I31" i="4"/>
  <c r="I38" i="4" s="1"/>
  <c r="I45" i="4"/>
  <c r="G15" i="4"/>
  <c r="G22" i="4" s="1"/>
  <c r="C31" i="4"/>
  <c r="C38" i="4" s="1"/>
  <c r="E45" i="4"/>
  <c r="H33" i="1"/>
  <c r="H34" i="1"/>
  <c r="B34" i="1" l="1"/>
  <c r="B33" i="1"/>
  <c r="F33" i="1"/>
  <c r="F34" i="1"/>
  <c r="K46" i="4"/>
  <c r="I46" i="4"/>
  <c r="C46" i="4"/>
  <c r="E46" i="4"/>
  <c r="G46" i="4"/>
</calcChain>
</file>

<file path=xl/sharedStrings.xml><?xml version="1.0" encoding="utf-8"?>
<sst xmlns="http://schemas.openxmlformats.org/spreadsheetml/2006/main" count="104" uniqueCount="85">
  <si>
    <t>Other Income</t>
  </si>
  <si>
    <t xml:space="preserve">Inventories </t>
  </si>
  <si>
    <t>Other Assets</t>
  </si>
  <si>
    <t>Total Liabilities and Equity</t>
  </si>
  <si>
    <t>Accounts Payable</t>
  </si>
  <si>
    <t>Subord. Long-Term Debt</t>
  </si>
  <si>
    <t>Retained Earnings</t>
  </si>
  <si>
    <t>Current Ratio</t>
  </si>
  <si>
    <t>Quick Ratio</t>
  </si>
  <si>
    <t xml:space="preserve">   Altman Z-Score</t>
  </si>
  <si>
    <t xml:space="preserve">     </t>
  </si>
  <si>
    <t>$</t>
  </si>
  <si>
    <t>%</t>
  </si>
  <si>
    <t>Assets</t>
  </si>
  <si>
    <t>Cash</t>
  </si>
  <si>
    <t>Other Current Liabilities</t>
  </si>
  <si>
    <t>Dec 31</t>
  </si>
  <si>
    <t>Short Term Investment</t>
  </si>
  <si>
    <t>Income Statement</t>
  </si>
  <si>
    <t xml:space="preserve">For Financial Years Ended </t>
  </si>
  <si>
    <t xml:space="preserve">   Gross Profit</t>
  </si>
  <si>
    <t>Cost of Sales (-)</t>
  </si>
  <si>
    <t>Operating Expenses (-)</t>
  </si>
  <si>
    <t xml:space="preserve">   Earnings before interest and tax</t>
  </si>
  <si>
    <t>Interest/Financing Expense (-)</t>
  </si>
  <si>
    <t>Other Expense (-)</t>
  </si>
  <si>
    <t xml:space="preserve">   Net Profit Before Tax</t>
  </si>
  <si>
    <t>Minority Interest</t>
  </si>
  <si>
    <t>Taxes (-)</t>
  </si>
  <si>
    <t xml:space="preserve">   Net Profit After Tax &amp; M.I.</t>
  </si>
  <si>
    <t>ABC Company</t>
  </si>
  <si>
    <t>Balance Sheet</t>
  </si>
  <si>
    <t>Trade Accounts Receivable (Less Provisions)</t>
  </si>
  <si>
    <t>Other Current Assets</t>
  </si>
  <si>
    <t xml:space="preserve">   Total Current Assets</t>
  </si>
  <si>
    <t>Due From Related Parties (Non-Trade)</t>
  </si>
  <si>
    <t>Investments</t>
  </si>
  <si>
    <t>Property, Plant &amp; Equipment (Less Provisions)</t>
  </si>
  <si>
    <t>Intangible Assets &amp; Prepaids</t>
  </si>
  <si>
    <t>Other Payables</t>
  </si>
  <si>
    <t>Due To Related Parties (Non-Trade)</t>
  </si>
  <si>
    <t>Other Long-Term Liabilities</t>
  </si>
  <si>
    <t xml:space="preserve">   Total Liabilities</t>
  </si>
  <si>
    <t>Paid In Capital</t>
  </si>
  <si>
    <t>Minority Interests</t>
  </si>
  <si>
    <t xml:space="preserve">   Equity</t>
  </si>
  <si>
    <t>Preference Shares, Quasi-Equity, Etc</t>
  </si>
  <si>
    <t xml:space="preserve">      Total Assets</t>
  </si>
  <si>
    <t xml:space="preserve">      Total Liabilities &amp; Equity</t>
  </si>
  <si>
    <t>% Return on Assets *</t>
  </si>
  <si>
    <t>% Return on Equity *</t>
  </si>
  <si>
    <t>* Profit After Tax</t>
  </si>
  <si>
    <t>EBITDA</t>
  </si>
  <si>
    <t>Sales to Assets (x)</t>
  </si>
  <si>
    <t>As At</t>
  </si>
  <si>
    <t>Interest Coverage (EBIT/Interest)</t>
  </si>
  <si>
    <t>Debt to Equity Ratio</t>
  </si>
  <si>
    <t>Weightage</t>
  </si>
  <si>
    <t>Z-Score Components</t>
  </si>
  <si>
    <t>X2 = Retained Earnings / Total Assets</t>
  </si>
  <si>
    <t>X3 = EBIT / Total Assets</t>
  </si>
  <si>
    <t>X4 = Net Worth / Total Liabilities</t>
  </si>
  <si>
    <t>Altman's 1983 Revised Z-Scores</t>
  </si>
  <si>
    <t>Interpretation of Z-Score</t>
  </si>
  <si>
    <t>Z-Score</t>
  </si>
  <si>
    <t>Interpretation</t>
  </si>
  <si>
    <t>Above 2.60</t>
  </si>
  <si>
    <t>The company is in good shape</t>
  </si>
  <si>
    <t>Between 1.10 and 2.60</t>
  </si>
  <si>
    <t>Be alert - exercise caution</t>
  </si>
  <si>
    <t>Below 1.10</t>
  </si>
  <si>
    <t>Very high probability of failure</t>
  </si>
  <si>
    <t>Revenue (Sales)</t>
  </si>
  <si>
    <t>Long-Term Interest Bearing Debt</t>
  </si>
  <si>
    <t>Short-Term Interest Bearing Debts</t>
  </si>
  <si>
    <t xml:space="preserve">   Total Current Liabilities</t>
  </si>
  <si>
    <t>Deferred Taxes</t>
  </si>
  <si>
    <t>Others (e.g. Capital Res., Translation Res.)</t>
  </si>
  <si>
    <t>Depreciation and amortisation (-)</t>
  </si>
  <si>
    <t xml:space="preserve">   EBITDA</t>
  </si>
  <si>
    <t>Tax Payable</t>
  </si>
  <si>
    <t>X1 = (Current Assets - Current Liabilities*) / Total Assets</t>
  </si>
  <si>
    <t>* "Current Liabilities" include "Due to Related Parties"</t>
  </si>
  <si>
    <t>Working Capital (CA-CL*)</t>
  </si>
  <si>
    <t>* Current Liabilities include "Due to Related 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</si>
</sst>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numFmt numFmtId="165" formatCode="dd\-mmm_)"/>
    <numFmt numFmtId="166" formatCode="#,##0.0_);\(#,##0.0\)"/>
    <numFmt numFmtId="167" formatCode="#,##0;\(#,##0\)"/>
    <numFmt numFmtId="168" formatCode="#,##0.00;[Red]\(#,##0.00\)"/>
  </numFmts>
  <fonts count="12" x14ac:knownFonts="1">
    <font>
      <sz val="10"/>
      <name val="Courier"/>
    </font>
    <font>
      <sz val="12"/>
      <color indexed="12"/>
      <name val="Arial"/>
      <family val="2"/>
    </font>
    <font>
      <sz val="12"/>
      <name val="Arial"/>
      <family val="2"/>
    </font>
    <font>
      <b/>
      <sz val="12"/>
      <name val="Arial"/>
      <family val="2"/>
    </font>
    <font>
      <b/>
      <sz val="12"/>
      <color indexed="12"/>
      <name val="Arial"/>
      <family val="2"/>
    </font>
    <font>
      <u/>
      <sz val="6"/>
      <color indexed="12"/>
      <name val="Courier"/>
    </font>
    <font>
      <sz val="10"/>
      <name val="Arial"/>
      <family val="2"/>
    </font>
    <font>
      <u/>
      <sz val="15"/>
      <color indexed="12"/>
      <name val="Arial"/>
      <family val="2"/>
    </font>
    <font>
      <b/>
      <sz val="10"/>
      <name val="Courier"/>
    </font>
    <font>
      <b/>
      <i/>
      <sz val="12"/>
      <name val="Arial"/>
      <family val="2"/>
    </font>
    <font>
      <sz val="10"/>
      <name val="Courier"/>
    </font>
    <font>
      <i/>
      <sz val="12"/>
      <name val="Arial"/>
      <family val="2"/>
    </font>
  </fonts>
  <fills count="3">
    <fill>
      <patternFill patternType="none"/>
    </fill>
    <fill>
      <patternFill patternType="gray125"/>
    </fill>
    <fill>
      <patternFill patternType="solid">
        <fgColor indexed="13"/>
        <bgColor indexed="64"/>
      </patternFill>
    </fill>
  </fills>
  <borders count="10">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94">
    <xf numFmtId="0" fontId="0" fillId="0" borderId="0" xfId="0"/>
    <xf numFmtId="0" fontId="2" fillId="0" borderId="0" xfId="0" applyFont="1"/>
    <xf numFmtId="0" fontId="1" fillId="0" borderId="0" xfId="0" applyFont="1" applyProtection="1">
      <protection locked="0"/>
    </xf>
    <xf numFmtId="166" fontId="2" fillId="0" borderId="0" xfId="0" applyNumberFormat="1" applyFont="1" applyProtection="1"/>
    <xf numFmtId="166" fontId="2" fillId="0" borderId="1" xfId="0" applyNumberFormat="1" applyFont="1" applyBorder="1" applyProtection="1"/>
    <xf numFmtId="166" fontId="2" fillId="0" borderId="2" xfId="0" applyNumberFormat="1" applyFont="1" applyBorder="1" applyProtection="1"/>
    <xf numFmtId="0" fontId="2" fillId="0" borderId="0" xfId="0" applyFont="1" applyBorder="1"/>
    <xf numFmtId="37" fontId="2" fillId="0" borderId="0" xfId="0" applyNumberFormat="1" applyFont="1" applyProtection="1"/>
    <xf numFmtId="37" fontId="1" fillId="0" borderId="0" xfId="0" applyNumberFormat="1" applyFont="1" applyProtection="1">
      <protection locked="0"/>
    </xf>
    <xf numFmtId="39" fontId="2" fillId="0" borderId="0" xfId="0" applyNumberFormat="1" applyFont="1" applyProtection="1"/>
    <xf numFmtId="164" fontId="3" fillId="0" borderId="1" xfId="0" applyNumberFormat="1" applyFont="1" applyBorder="1" applyProtection="1"/>
    <xf numFmtId="39" fontId="3" fillId="0" borderId="0" xfId="0" applyNumberFormat="1" applyFont="1" applyProtection="1"/>
    <xf numFmtId="37" fontId="1" fillId="0" borderId="0" xfId="0" applyNumberFormat="1" applyFont="1" applyBorder="1" applyProtection="1">
      <protection locked="0"/>
    </xf>
    <xf numFmtId="166" fontId="2" fillId="0" borderId="0" xfId="0" applyNumberFormat="1" applyFont="1" applyBorder="1" applyProtection="1"/>
    <xf numFmtId="0" fontId="6" fillId="0" borderId="0" xfId="0" applyFont="1"/>
    <xf numFmtId="0" fontId="6" fillId="0" borderId="0" xfId="0" quotePrefix="1" applyFont="1" applyAlignment="1">
      <alignment horizontal="left"/>
    </xf>
    <xf numFmtId="0" fontId="6" fillId="0" borderId="0" xfId="0" applyFont="1" applyProtection="1">
      <protection hidden="1"/>
    </xf>
    <xf numFmtId="0" fontId="6" fillId="0" borderId="0" xfId="0" quotePrefix="1" applyFont="1" applyAlignment="1" applyProtection="1">
      <alignment horizontal="left"/>
      <protection hidden="1"/>
    </xf>
    <xf numFmtId="0" fontId="6" fillId="0" borderId="0" xfId="0" applyFont="1" applyProtection="1">
      <protection locked="0" hidden="1"/>
    </xf>
    <xf numFmtId="0" fontId="6" fillId="0" borderId="0" xfId="0" quotePrefix="1" applyFont="1" applyAlignment="1" applyProtection="1">
      <alignment horizontal="left"/>
      <protection locked="0" hidden="1"/>
    </xf>
    <xf numFmtId="0" fontId="7" fillId="0" borderId="0" xfId="1" quotePrefix="1" applyFont="1" applyAlignment="1" applyProtection="1">
      <alignment horizontal="left"/>
    </xf>
    <xf numFmtId="165" fontId="2" fillId="0" borderId="0" xfId="0" applyNumberFormat="1" applyFont="1" applyAlignment="1" applyProtection="1">
      <alignment horizontal="center"/>
    </xf>
    <xf numFmtId="37" fontId="1" fillId="0" borderId="1" xfId="0" applyNumberFormat="1" applyFont="1" applyBorder="1" applyProtection="1">
      <protection locked="0"/>
    </xf>
    <xf numFmtId="37" fontId="2" fillId="0" borderId="2" xfId="0" applyNumberFormat="1" applyFont="1" applyBorder="1" applyProtection="1"/>
    <xf numFmtId="167" fontId="1" fillId="0" borderId="0" xfId="0" applyNumberFormat="1" applyFont="1" applyProtection="1">
      <protection locked="0"/>
    </xf>
    <xf numFmtId="167" fontId="1" fillId="0" borderId="1" xfId="0" applyNumberFormat="1" applyFont="1" applyBorder="1" applyProtection="1">
      <protection locked="0"/>
    </xf>
    <xf numFmtId="167" fontId="2" fillId="0" borderId="0" xfId="0" applyNumberFormat="1" applyFont="1" applyProtection="1"/>
    <xf numFmtId="167" fontId="1" fillId="0" borderId="0" xfId="0" applyNumberFormat="1" applyFont="1" applyBorder="1" applyProtection="1">
      <protection locked="0"/>
    </xf>
    <xf numFmtId="167" fontId="2" fillId="0" borderId="2" xfId="0" applyNumberFormat="1" applyFont="1" applyBorder="1" applyProtection="1"/>
    <xf numFmtId="168" fontId="2" fillId="0" borderId="0" xfId="0" applyNumberFormat="1" applyFont="1" applyProtection="1"/>
    <xf numFmtId="168" fontId="3" fillId="0" borderId="0" xfId="0" applyNumberFormat="1" applyFont="1" applyProtection="1"/>
    <xf numFmtId="0" fontId="2" fillId="0" borderId="0" xfId="0" applyFont="1" applyAlignment="1" applyProtection="1">
      <alignment horizontal="center"/>
    </xf>
    <xf numFmtId="16" fontId="2" fillId="0" borderId="0" xfId="0" applyNumberFormat="1" applyFont="1" applyAlignment="1" applyProtection="1">
      <alignment horizontal="center"/>
    </xf>
    <xf numFmtId="0" fontId="2" fillId="0" borderId="0" xfId="0" applyFont="1" applyProtection="1"/>
    <xf numFmtId="0" fontId="3" fillId="0" borderId="1" xfId="0" applyFont="1" applyBorder="1" applyAlignment="1" applyProtection="1">
      <alignment horizontal="left"/>
    </xf>
    <xf numFmtId="0" fontId="3" fillId="0" borderId="1" xfId="0" applyFont="1" applyBorder="1" applyAlignment="1" applyProtection="1">
      <alignment horizontal="center"/>
    </xf>
    <xf numFmtId="0" fontId="2" fillId="0" borderId="0" xfId="0" applyFont="1" applyAlignment="1" applyProtection="1">
      <alignment horizontal="left"/>
    </xf>
    <xf numFmtId="0" fontId="2" fillId="0" borderId="0" xfId="0" quotePrefix="1" applyFont="1" applyAlignment="1" applyProtection="1">
      <alignment horizontal="center"/>
    </xf>
    <xf numFmtId="0" fontId="2" fillId="0" borderId="0" xfId="0" quotePrefix="1" applyFont="1" applyAlignment="1" applyProtection="1">
      <alignment horizontal="left"/>
    </xf>
    <xf numFmtId="0" fontId="3" fillId="0" borderId="0" xfId="0" applyFont="1" applyProtection="1"/>
    <xf numFmtId="0" fontId="3" fillId="0" borderId="0" xfId="0" quotePrefix="1" applyFont="1" applyAlignment="1" applyProtection="1">
      <alignment horizontal="left"/>
    </xf>
    <xf numFmtId="0" fontId="3" fillId="0" borderId="0" xfId="0" applyFont="1" applyAlignment="1" applyProtection="1">
      <alignment vertical="top"/>
    </xf>
    <xf numFmtId="0" fontId="11" fillId="0" borderId="0" xfId="0" applyFont="1" applyAlignment="1" applyProtection="1">
      <alignment vertical="top"/>
    </xf>
    <xf numFmtId="0" fontId="9" fillId="0" borderId="3" xfId="0" applyFont="1" applyFill="1" applyBorder="1" applyAlignment="1" applyProtection="1">
      <alignment horizontal="center"/>
    </xf>
    <xf numFmtId="0" fontId="2" fillId="0" borderId="4" xfId="0" applyFont="1" applyFill="1" applyBorder="1" applyAlignment="1" applyProtection="1">
      <alignment horizontal="center"/>
    </xf>
    <xf numFmtId="0" fontId="2" fillId="0" borderId="5" xfId="0" applyFont="1" applyFill="1" applyBorder="1" applyAlignment="1" applyProtection="1">
      <alignment horizontal="center"/>
    </xf>
    <xf numFmtId="0" fontId="2" fillId="0" borderId="0" xfId="0" applyFont="1" applyFill="1" applyProtection="1"/>
    <xf numFmtId="0" fontId="2" fillId="0" borderId="0" xfId="0" applyFont="1" applyAlignment="1" applyProtection="1"/>
    <xf numFmtId="0" fontId="1" fillId="0" borderId="0" xfId="0" applyFont="1" applyAlignment="1" applyProtection="1">
      <alignment horizontal="center"/>
    </xf>
    <xf numFmtId="0" fontId="2" fillId="0" borderId="0" xfId="0" applyFont="1" applyBorder="1" applyAlignment="1" applyProtection="1">
      <alignment horizontal="center"/>
    </xf>
    <xf numFmtId="37" fontId="1" fillId="0" borderId="0" xfId="0" applyNumberFormat="1" applyFont="1" applyProtection="1"/>
    <xf numFmtId="37" fontId="1" fillId="0" borderId="0" xfId="0" applyNumberFormat="1" applyFont="1" applyBorder="1" applyProtection="1"/>
    <xf numFmtId="0" fontId="1" fillId="0" borderId="0" xfId="0" applyFont="1" applyProtection="1"/>
    <xf numFmtId="37" fontId="1" fillId="0" borderId="1" xfId="0" applyNumberFormat="1" applyFont="1" applyBorder="1" applyProtection="1"/>
    <xf numFmtId="167" fontId="1" fillId="0" borderId="0" xfId="0" applyNumberFormat="1" applyFont="1" applyProtection="1"/>
    <xf numFmtId="166" fontId="2" fillId="0" borderId="0" xfId="0" applyNumberFormat="1" applyFont="1" applyAlignment="1" applyProtection="1">
      <alignment horizontal="right"/>
    </xf>
    <xf numFmtId="167" fontId="2" fillId="0" borderId="0" xfId="0" applyNumberFormat="1" applyFont="1" applyBorder="1" applyProtection="1"/>
    <xf numFmtId="37" fontId="2" fillId="0" borderId="0" xfId="0" applyNumberFormat="1" applyFont="1" applyBorder="1" applyProtection="1"/>
    <xf numFmtId="0" fontId="2" fillId="0" borderId="0" xfId="0" applyFont="1" applyBorder="1" applyAlignment="1" applyProtection="1">
      <alignment horizontal="left"/>
    </xf>
    <xf numFmtId="166" fontId="1" fillId="0" borderId="0" xfId="0" applyNumberFormat="1" applyFont="1" applyProtection="1"/>
    <xf numFmtId="0" fontId="6" fillId="0" borderId="0" xfId="0" applyFont="1" applyProtection="1"/>
    <xf numFmtId="0" fontId="6" fillId="0" borderId="0" xfId="0" quotePrefix="1" applyFont="1" applyAlignment="1" applyProtection="1">
      <alignment horizontal="left"/>
    </xf>
    <xf numFmtId="0" fontId="4" fillId="0" borderId="0" xfId="0" applyFont="1" applyAlignment="1" applyProtection="1">
      <alignment horizontal="center"/>
    </xf>
    <xf numFmtId="0" fontId="2" fillId="0" borderId="0" xfId="0" applyFont="1" applyAlignment="1" applyProtection="1">
      <alignment horizontal="right"/>
    </xf>
    <xf numFmtId="49" fontId="2" fillId="0" borderId="0" xfId="0" applyNumberFormat="1" applyFont="1" applyProtection="1"/>
    <xf numFmtId="164" fontId="3" fillId="0" borderId="0" xfId="0" applyNumberFormat="1" applyFont="1" applyAlignment="1" applyProtection="1">
      <alignment horizontal="center"/>
    </xf>
    <xf numFmtId="0" fontId="4" fillId="0" borderId="0" xfId="0" quotePrefix="1" applyFont="1" applyAlignment="1" applyProtection="1">
      <alignment horizontal="center"/>
      <protection locked="0"/>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0" fontId="3" fillId="0" borderId="0" xfId="0" quotePrefix="1" applyFont="1" applyAlignment="1" applyProtection="1">
      <alignment horizontal="center"/>
    </xf>
    <xf numFmtId="0" fontId="3" fillId="0" borderId="0" xfId="0" applyFont="1" applyAlignment="1" applyProtection="1">
      <alignment horizontal="center"/>
    </xf>
    <xf numFmtId="0" fontId="10" fillId="0" borderId="0" xfId="0" applyFont="1" applyAlignment="1" applyProtection="1">
      <alignment horizontal="center"/>
    </xf>
    <xf numFmtId="0" fontId="2" fillId="0" borderId="0" xfId="0" quotePrefix="1" applyFont="1" applyAlignment="1" applyProtection="1">
      <alignment horizontal="center"/>
    </xf>
    <xf numFmtId="0" fontId="2" fillId="0" borderId="0" xfId="0" applyFont="1" applyAlignment="1" applyProtection="1">
      <alignment horizontal="center"/>
    </xf>
    <xf numFmtId="0" fontId="8" fillId="0" borderId="0" xfId="0" applyFont="1" applyAlignment="1" applyProtection="1">
      <alignment horizontal="center"/>
      <protection locked="0"/>
    </xf>
    <xf numFmtId="0" fontId="1" fillId="0" borderId="0" xfId="0" quotePrefix="1" applyFont="1" applyAlignment="1" applyProtection="1">
      <alignment horizontal="center"/>
    </xf>
    <xf numFmtId="0" fontId="1" fillId="0" borderId="0" xfId="0" applyFont="1" applyAlignment="1" applyProtection="1">
      <alignment horizontal="center"/>
    </xf>
    <xf numFmtId="0" fontId="4" fillId="0" borderId="0" xfId="0" quotePrefix="1" applyFont="1" applyAlignment="1" applyProtection="1">
      <alignment horizontal="center"/>
    </xf>
    <xf numFmtId="0" fontId="4" fillId="0" borderId="0" xfId="0" applyFont="1" applyAlignment="1" applyProtection="1">
      <alignment horizontal="center"/>
    </xf>
    <xf numFmtId="0" fontId="0" fillId="0" borderId="0" xfId="0" applyAlignment="1" applyProtection="1">
      <alignment horizontal="center"/>
    </xf>
    <xf numFmtId="164" fontId="4" fillId="0" borderId="0" xfId="0" applyNumberFormat="1" applyFont="1" applyAlignment="1" applyProtection="1">
      <alignment horizontal="center"/>
      <protection locked="0"/>
    </xf>
    <xf numFmtId="0" fontId="2" fillId="0" borderId="0" xfId="0" applyFont="1" applyAlignment="1" applyProtection="1">
      <alignment horizontal="center"/>
      <protection locked="0"/>
    </xf>
    <xf numFmtId="0" fontId="10" fillId="0" borderId="0" xfId="0" applyFont="1" applyAlignment="1" applyProtection="1">
      <alignment horizontal="center"/>
      <protection locked="0"/>
    </xf>
    <xf numFmtId="0" fontId="3" fillId="2" borderId="0" xfId="0" applyFont="1" applyFill="1" applyAlignment="1" applyProtection="1">
      <alignment horizontal="center"/>
    </xf>
    <xf numFmtId="0" fontId="0" fillId="2" borderId="0" xfId="0" applyFill="1" applyAlignment="1" applyProtection="1">
      <alignment horizontal="center"/>
    </xf>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6" xfId="0" applyFill="1" applyBorder="1" applyAlignment="1" applyProtection="1">
      <alignment horizontal="center"/>
    </xf>
    <xf numFmtId="0" fontId="9" fillId="0" borderId="7" xfId="0" applyFont="1" applyFill="1" applyBorder="1" applyAlignment="1" applyProtection="1">
      <alignment horizontal="center"/>
    </xf>
    <xf numFmtId="0" fontId="0" fillId="0" borderId="7" xfId="0" applyFill="1" applyBorder="1" applyAlignment="1" applyProtection="1">
      <alignment horizontal="center"/>
    </xf>
    <xf numFmtId="0" fontId="0" fillId="0" borderId="8" xfId="0" applyFill="1" applyBorder="1" applyAlignment="1" applyProtection="1">
      <alignment horizontal="center"/>
    </xf>
    <xf numFmtId="0" fontId="2" fillId="0" borderId="0" xfId="0" applyFont="1" applyFill="1" applyBorder="1" applyAlignment="1" applyProtection="1">
      <alignment horizontal="center"/>
    </xf>
    <xf numFmtId="0" fontId="0" fillId="0" borderId="0" xfId="0" applyFill="1" applyBorder="1" applyAlignment="1" applyProtection="1">
      <alignment horizontal="center"/>
    </xf>
    <xf numFmtId="0" fontId="0" fillId="0" borderId="9" xfId="0" applyFill="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3</xdr:row>
      <xdr:rowOff>47624</xdr:rowOff>
    </xdr:from>
    <xdr:to>
      <xdr:col>12</xdr:col>
      <xdr:colOff>101599</xdr:colOff>
      <xdr:row>24</xdr:row>
      <xdr:rowOff>139699</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19074" y="542924"/>
          <a:ext cx="7540625" cy="3635375"/>
        </a:xfrm>
        <a:prstGeom prst="rect">
          <a:avLst/>
        </a:prstGeom>
        <a:noFill/>
        <a:ln w="38100" cmpd="dbl">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0" tIns="45720" rIns="91440" bIns="45720" anchor="ctr" upright="1"/>
        <a:lstStyle/>
        <a:p>
          <a:pPr algn="l" rtl="0">
            <a:defRPr sz="1000"/>
          </a:pPr>
          <a:r>
            <a:rPr lang="en-SG" sz="1400" b="1" i="0" u="none" strike="noStrike" baseline="0">
              <a:solidFill>
                <a:srgbClr val="000000"/>
              </a:solidFill>
              <a:latin typeface="Arial"/>
              <a:cs typeface="Arial"/>
            </a:rPr>
            <a:t>Thank you for attending the SACM Training Course on Practical Credit Evaluation.</a:t>
          </a:r>
        </a:p>
        <a:p>
          <a:pPr algn="l" rtl="0">
            <a:defRPr sz="1000"/>
          </a:pPr>
          <a:r>
            <a:rPr lang="en-SG" sz="1400" b="1" i="0" u="none" strike="noStrike" baseline="0">
              <a:solidFill>
                <a:srgbClr val="000000"/>
              </a:solidFill>
              <a:latin typeface="Arial"/>
              <a:cs typeface="Arial"/>
            </a:rPr>
            <a:t>This financial model has been specially designed for credit analysis based on the Altman Z-score (1983 revision) taught during the course.</a:t>
          </a:r>
        </a:p>
        <a:p>
          <a:pPr algn="l" rtl="0">
            <a:defRPr sz="1000"/>
          </a:pPr>
          <a:endParaRPr lang="en-SG" sz="1400" b="1" i="0" u="none" strike="noStrike" baseline="0">
            <a:solidFill>
              <a:srgbClr val="000000"/>
            </a:solidFill>
            <a:latin typeface="Arial"/>
            <a:cs typeface="Arial"/>
          </a:endParaRPr>
        </a:p>
        <a:p>
          <a:pPr algn="l" rtl="0">
            <a:defRPr sz="1000"/>
          </a:pPr>
          <a:r>
            <a:rPr lang="en-SG" sz="1400" b="1" i="0" u="none" strike="noStrike" baseline="0">
              <a:solidFill>
                <a:srgbClr val="000000"/>
              </a:solidFill>
              <a:latin typeface="Arial"/>
              <a:cs typeface="Arial"/>
            </a:rPr>
            <a:t>All you need to do is to input only the numbers in</a:t>
          </a:r>
          <a:r>
            <a:rPr lang="en-SG" sz="1400" b="1" i="0" u="none" strike="noStrike" baseline="0">
              <a:solidFill>
                <a:srgbClr val="0000FF"/>
              </a:solidFill>
              <a:latin typeface="Arial"/>
              <a:cs typeface="Arial"/>
            </a:rPr>
            <a:t> blue</a:t>
          </a:r>
          <a:r>
            <a:rPr lang="en-SG" sz="1400" b="1" i="0" u="none" strike="noStrike" baseline="0">
              <a:solidFill>
                <a:srgbClr val="000000"/>
              </a:solidFill>
              <a:latin typeface="Arial"/>
              <a:cs typeface="Arial"/>
            </a:rPr>
            <a:t>.  All other numbers are automatically calculated.</a:t>
          </a:r>
        </a:p>
        <a:p>
          <a:pPr algn="l" rtl="0">
            <a:defRPr sz="1000"/>
          </a:pPr>
          <a:endParaRPr lang="en-SG" sz="1400" b="1" i="0" u="none" strike="noStrike" baseline="0">
            <a:solidFill>
              <a:srgbClr val="000000"/>
            </a:solidFill>
            <a:latin typeface="Arial"/>
            <a:cs typeface="Arial"/>
          </a:endParaRPr>
        </a:p>
        <a:p>
          <a:pPr algn="l" rtl="0">
            <a:defRPr sz="1000"/>
          </a:pPr>
          <a:r>
            <a:rPr lang="en-SG" sz="1400" b="1" i="0" u="none" strike="noStrike" baseline="0">
              <a:solidFill>
                <a:srgbClr val="000000"/>
              </a:solidFill>
              <a:latin typeface="Arial"/>
              <a:cs typeface="Arial"/>
            </a:rPr>
            <a:t>Any </a:t>
          </a:r>
          <a:r>
            <a:rPr lang="en-SG" sz="1400" b="1" i="0" u="none" strike="noStrike" baseline="0">
              <a:solidFill>
                <a:srgbClr val="0000FF"/>
              </a:solidFill>
              <a:latin typeface="Arial"/>
              <a:cs typeface="Arial"/>
            </a:rPr>
            <a:t>blue text</a:t>
          </a:r>
          <a:r>
            <a:rPr lang="en-SG" sz="1400" b="1" i="0" u="none" strike="noStrike" baseline="0">
              <a:solidFill>
                <a:srgbClr val="000000"/>
              </a:solidFill>
              <a:latin typeface="Arial"/>
              <a:cs typeface="Arial"/>
            </a:rPr>
            <a:t> provides you the flexibility to customise the title.</a:t>
          </a:r>
        </a:p>
        <a:p>
          <a:pPr algn="l" rtl="0">
            <a:defRPr sz="1000"/>
          </a:pPr>
          <a:endParaRPr lang="en-SG" sz="1400" b="1" i="0" u="none" strike="noStrike" baseline="0">
            <a:solidFill>
              <a:srgbClr val="000000"/>
            </a:solidFill>
            <a:latin typeface="Arial"/>
            <a:cs typeface="Arial"/>
          </a:endParaRPr>
        </a:p>
        <a:p>
          <a:pPr algn="l" rtl="0">
            <a:defRPr sz="1000"/>
          </a:pPr>
          <a:r>
            <a:rPr lang="en-SG" sz="1400" b="1" i="0" u="none" strike="noStrike" baseline="0">
              <a:solidFill>
                <a:srgbClr val="000000"/>
              </a:solidFill>
              <a:latin typeface="Arial"/>
              <a:cs typeface="Arial"/>
            </a:rPr>
            <a:t>All information, analysis and recommendations shown in this credit scoring model are for course participants' exclusive use as a training aid &amp; for no other purposes. SACM and CMS does not guarantee the accuracy and correctness of the model and shall not be liable for any loss or damage resulting from the use of the results of the model.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9:F173"/>
  <sheetViews>
    <sheetView showGridLines="0" tabSelected="1" zoomScale="75" workbookViewId="0">
      <selection activeCell="J36" sqref="J36"/>
    </sheetView>
  </sheetViews>
  <sheetFormatPr defaultColWidth="8.875" defaultRowHeight="12.75" x14ac:dyDescent="0.2"/>
  <cols>
    <col min="1" max="11" width="8.875" style="14"/>
    <col min="12" max="12" width="3.375" style="14" customWidth="1"/>
    <col min="13" max="16384" width="8.875" style="14"/>
  </cols>
  <sheetData>
    <row r="19" spans="3:6" ht="18.75" x14ac:dyDescent="0.25">
      <c r="C19" s="20"/>
    </row>
    <row r="20" spans="3:6" x14ac:dyDescent="0.2">
      <c r="D20"/>
      <c r="E20"/>
      <c r="F20"/>
    </row>
    <row r="21" spans="3:6" x14ac:dyDescent="0.2">
      <c r="D21"/>
      <c r="E21"/>
    </row>
    <row r="42" spans="1:1" x14ac:dyDescent="0.2">
      <c r="A42" s="16"/>
    </row>
    <row r="43" spans="1:1" x14ac:dyDescent="0.2">
      <c r="A43" s="17"/>
    </row>
    <row r="173" spans="1:1" x14ac:dyDescent="0.2">
      <c r="A173" s="15"/>
    </row>
  </sheetData>
  <phoneticPr fontId="0" type="noConversion"/>
  <printOptions horizontalCentered="1"/>
  <pageMargins left="0.5" right="0.5" top="1" bottom="1" header="0.5" footer="0.5"/>
  <pageSetup paperSize="9" scale="86" orientation="portrait"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pageSetUpPr fitToPage="1"/>
  </sheetPr>
  <dimension ref="A1:K182"/>
  <sheetViews>
    <sheetView zoomScale="75" zoomScaleNormal="60" workbookViewId="0">
      <pane xSplit="1" ySplit="9" topLeftCell="B10" activePane="bottomRight" state="frozen"/>
      <selection pane="topRight" activeCell="B1" sqref="B1"/>
      <selection pane="bottomLeft" activeCell="A10" sqref="A10"/>
      <selection pane="bottomRight" activeCell="M37" sqref="M37"/>
    </sheetView>
  </sheetViews>
  <sheetFormatPr defaultColWidth="9.625" defaultRowHeight="15" x14ac:dyDescent="0.2"/>
  <cols>
    <col min="1" max="1" width="37.375" style="1" customWidth="1"/>
    <col min="2" max="2" width="12.125" style="1" bestFit="1" customWidth="1"/>
    <col min="3" max="3" width="8.5" style="1" bestFit="1" customWidth="1"/>
    <col min="4" max="4" width="12.125" style="1" bestFit="1" customWidth="1"/>
    <col min="5" max="5" width="8.5" style="1" bestFit="1" customWidth="1"/>
    <col min="6" max="6" width="12.125" style="1" bestFit="1" customWidth="1"/>
    <col min="7" max="7" width="8.5" style="1" bestFit="1" customWidth="1"/>
    <col min="8" max="8" width="11" style="1" hidden="1" customWidth="1"/>
    <col min="9" max="9" width="7.75" style="1" hidden="1" customWidth="1"/>
    <col min="10" max="10" width="11" style="1" hidden="1" customWidth="1"/>
    <col min="11" max="11" width="8.5" style="1" hidden="1" customWidth="1"/>
    <col min="12" max="16384" width="9.625" style="1"/>
  </cols>
  <sheetData>
    <row r="1" spans="1:11" ht="15.75" x14ac:dyDescent="0.25">
      <c r="A1" s="66" t="s">
        <v>30</v>
      </c>
      <c r="B1" s="67"/>
      <c r="C1" s="67"/>
      <c r="D1" s="67"/>
      <c r="E1" s="67"/>
      <c r="F1" s="67"/>
      <c r="G1" s="67"/>
      <c r="H1" s="68"/>
      <c r="I1" s="68"/>
      <c r="J1" s="68"/>
      <c r="K1" s="68"/>
    </row>
    <row r="2" spans="1:11" ht="15.75" x14ac:dyDescent="0.25">
      <c r="A2" s="69" t="s">
        <v>18</v>
      </c>
      <c r="B2" s="70"/>
      <c r="C2" s="70"/>
      <c r="D2" s="70"/>
      <c r="E2" s="70"/>
      <c r="F2" s="70"/>
      <c r="G2" s="70"/>
      <c r="H2" s="71"/>
      <c r="I2" s="71"/>
      <c r="J2" s="71"/>
      <c r="K2" s="71"/>
    </row>
    <row r="3" spans="1:11" x14ac:dyDescent="0.2">
      <c r="A3" s="72" t="s">
        <v>19</v>
      </c>
      <c r="B3" s="73"/>
      <c r="C3" s="73"/>
      <c r="D3" s="73"/>
      <c r="E3" s="73"/>
      <c r="F3" s="73"/>
      <c r="G3" s="73"/>
      <c r="H3" s="71"/>
      <c r="I3" s="71"/>
      <c r="J3" s="71"/>
      <c r="K3" s="71"/>
    </row>
    <row r="4" spans="1:11" ht="15.75" x14ac:dyDescent="0.25">
      <c r="A4" s="66" t="s">
        <v>16</v>
      </c>
      <c r="B4" s="67"/>
      <c r="C4" s="67"/>
      <c r="D4" s="67"/>
      <c r="E4" s="67"/>
      <c r="F4" s="67"/>
      <c r="G4" s="67"/>
      <c r="H4" s="74"/>
      <c r="I4" s="74"/>
      <c r="J4" s="74"/>
      <c r="K4" s="74"/>
    </row>
    <row r="5" spans="1:11" x14ac:dyDescent="0.2">
      <c r="A5" s="75"/>
      <c r="B5" s="76"/>
      <c r="C5" s="76"/>
      <c r="D5" s="76"/>
      <c r="E5" s="76"/>
      <c r="F5" s="76"/>
      <c r="G5" s="76"/>
      <c r="H5" s="71"/>
      <c r="I5" s="71"/>
      <c r="J5" s="71"/>
      <c r="K5" s="71"/>
    </row>
    <row r="6" spans="1:11" ht="15.75" x14ac:dyDescent="0.25">
      <c r="A6" s="77"/>
      <c r="B6" s="78"/>
      <c r="C6" s="78"/>
      <c r="D6" s="78"/>
      <c r="E6" s="78"/>
      <c r="F6" s="78"/>
      <c r="G6" s="78"/>
      <c r="H6" s="79"/>
      <c r="I6" s="79"/>
      <c r="J6" s="79"/>
      <c r="K6" s="79"/>
    </row>
    <row r="7" spans="1:11" ht="15.75" x14ac:dyDescent="0.25">
      <c r="A7" s="33"/>
      <c r="B7" s="33"/>
      <c r="C7" s="47"/>
      <c r="D7" s="47"/>
      <c r="E7" s="47"/>
      <c r="F7" s="62"/>
      <c r="G7" s="33"/>
      <c r="H7" s="47"/>
      <c r="I7" s="47"/>
      <c r="J7" s="62"/>
      <c r="K7" s="33"/>
    </row>
    <row r="8" spans="1:11" ht="15.75" x14ac:dyDescent="0.25">
      <c r="A8" s="33"/>
      <c r="B8" s="80">
        <v>2016</v>
      </c>
      <c r="C8" s="80"/>
      <c r="D8" s="65">
        <f>B8+1</f>
        <v>2017</v>
      </c>
      <c r="E8" s="65"/>
      <c r="F8" s="65">
        <f>D8+1</f>
        <v>2018</v>
      </c>
      <c r="G8" s="65"/>
      <c r="H8" s="65">
        <f>F8+1</f>
        <v>2019</v>
      </c>
      <c r="I8" s="65"/>
      <c r="J8" s="65">
        <f>H8+1</f>
        <v>2020</v>
      </c>
      <c r="K8" s="65"/>
    </row>
    <row r="9" spans="1:11" x14ac:dyDescent="0.2">
      <c r="A9" s="33"/>
      <c r="B9" s="49" t="s">
        <v>11</v>
      </c>
      <c r="C9" s="49" t="s">
        <v>12</v>
      </c>
      <c r="D9" s="49" t="s">
        <v>11</v>
      </c>
      <c r="E9" s="49" t="s">
        <v>12</v>
      </c>
      <c r="F9" s="49" t="s">
        <v>11</v>
      </c>
      <c r="G9" s="49" t="s">
        <v>12</v>
      </c>
      <c r="H9" s="49" t="s">
        <v>11</v>
      </c>
      <c r="I9" s="49" t="s">
        <v>12</v>
      </c>
      <c r="J9" s="49" t="s">
        <v>11</v>
      </c>
      <c r="K9" s="49" t="s">
        <v>12</v>
      </c>
    </row>
    <row r="10" spans="1:11" x14ac:dyDescent="0.2">
      <c r="A10" s="33" t="s">
        <v>72</v>
      </c>
      <c r="B10" s="24">
        <v>89048.616999999998</v>
      </c>
      <c r="C10" s="13">
        <f>IF(ISERROR(ROUND(B10/B$10*100,1)),0,(ROUND(B10/B$10*100,1)))</f>
        <v>100</v>
      </c>
      <c r="D10" s="24">
        <v>135150.25669000001</v>
      </c>
      <c r="E10" s="13">
        <f>IF(ISERROR(ROUND(D10/D$10*100,1)),0,(ROUND(D10/D$10*100,1)))</f>
        <v>100</v>
      </c>
      <c r="F10" s="24">
        <v>141317.75870999999</v>
      </c>
      <c r="G10" s="13">
        <f>IF(ISERROR(ROUND(F10/F$10*100,1)),0,(ROUND(F10/F$10*100,1)))</f>
        <v>100</v>
      </c>
      <c r="H10" s="50">
        <v>0</v>
      </c>
      <c r="I10" s="13">
        <f>IF(ISERROR(ROUND(H10/H$10*100,1)),0,(ROUND(H10/H$10*100,1)))</f>
        <v>0</v>
      </c>
      <c r="J10" s="50">
        <v>0</v>
      </c>
      <c r="K10" s="13">
        <f>IF(ISERROR(ROUND(J10/J$10*100,1)),0,(ROUND(J10/J$10*100,1)))</f>
        <v>0</v>
      </c>
    </row>
    <row r="11" spans="1:11" x14ac:dyDescent="0.2">
      <c r="A11" s="33" t="s">
        <v>21</v>
      </c>
      <c r="B11" s="25">
        <v>-79809.565000000002</v>
      </c>
      <c r="C11" s="4">
        <f>IF(ISERROR(ROUND(B11/B$10*100,1)),0,(ROUND(B11/B$10*100,1)))</f>
        <v>-89.6</v>
      </c>
      <c r="D11" s="25">
        <v>-121949.54300000001</v>
      </c>
      <c r="E11" s="4">
        <f>IF(ISERROR(ROUND(D11/D$10*100,1)),0,(ROUND(D11/D$10*100,1)))</f>
        <v>-90.2</v>
      </c>
      <c r="F11" s="25">
        <v>-118838.98754</v>
      </c>
      <c r="G11" s="4">
        <f>IF(ISERROR(ROUND(F11/F$10*100,1)),0,(ROUND(F11/F$10*100,1)))</f>
        <v>-84.1</v>
      </c>
      <c r="H11" s="53">
        <v>0</v>
      </c>
      <c r="I11" s="4">
        <f>IF(ISERROR(ROUND(H11/H$10*100,1)),0,(ROUND(H11/H$10*100,1)))</f>
        <v>0</v>
      </c>
      <c r="J11" s="53">
        <v>0</v>
      </c>
      <c r="K11" s="4">
        <f>IF(ISERROR(ROUND(J11/J$10*100,1)),0,(ROUND(J11/J$10*100,1)))</f>
        <v>0</v>
      </c>
    </row>
    <row r="12" spans="1:11" x14ac:dyDescent="0.2">
      <c r="A12" s="36" t="s">
        <v>20</v>
      </c>
      <c r="B12" s="26">
        <f>B10+B11</f>
        <v>9239.051999999996</v>
      </c>
      <c r="C12" s="3">
        <f>ROUND(C10+C11,1)</f>
        <v>10.4</v>
      </c>
      <c r="D12" s="26">
        <f>D10+D11</f>
        <v>13200.713690000004</v>
      </c>
      <c r="E12" s="3">
        <f>ROUND(E10+E11,1)</f>
        <v>9.8000000000000007</v>
      </c>
      <c r="F12" s="26">
        <f>F10+F11</f>
        <v>22478.771169999993</v>
      </c>
      <c r="G12" s="3">
        <f>ROUND(G10+G11,1)</f>
        <v>15.9</v>
      </c>
      <c r="H12" s="7">
        <f>H10+H11</f>
        <v>0</v>
      </c>
      <c r="I12" s="3">
        <f>ROUND(I10+I11,1)</f>
        <v>0</v>
      </c>
      <c r="J12" s="7">
        <f>J10+J11</f>
        <v>0</v>
      </c>
      <c r="K12" s="3">
        <f>ROUND(K10+K11,1)</f>
        <v>0</v>
      </c>
    </row>
    <row r="13" spans="1:11" x14ac:dyDescent="0.2">
      <c r="A13" s="33" t="s">
        <v>0</v>
      </c>
      <c r="B13" s="27">
        <v>174.875</v>
      </c>
      <c r="C13" s="13">
        <f>IF(ISERROR(ROUND(B13/B$10*100,1)),0,(ROUND(B13/B$10*100,1)))</f>
        <v>0.2</v>
      </c>
      <c r="D13" s="27">
        <v>142.69900000000001</v>
      </c>
      <c r="E13" s="13">
        <f>IF(ISERROR(ROUND(D13/D$10*100,1)),0,(ROUND(D13/D$10*100,1)))</f>
        <v>0.1</v>
      </c>
      <c r="F13" s="27">
        <v>537.13614000000007</v>
      </c>
      <c r="G13" s="13">
        <f>IF(ISERROR(ROUND(F13/F$10*100,1)),0,(ROUND(F13/F$10*100,1)))</f>
        <v>0.4</v>
      </c>
      <c r="H13" s="7"/>
      <c r="I13" s="3"/>
      <c r="J13" s="7"/>
      <c r="K13" s="3"/>
    </row>
    <row r="14" spans="1:11" x14ac:dyDescent="0.2">
      <c r="A14" s="33" t="s">
        <v>22</v>
      </c>
      <c r="B14" s="25">
        <v>-5631.9228899999998</v>
      </c>
      <c r="C14" s="4">
        <f>IF(ISERROR(ROUND(B14/B$10*100,1)),0,(ROUND(B14/B$10*100,1)))</f>
        <v>-6.3</v>
      </c>
      <c r="D14" s="25">
        <v>-6672.7780000000002</v>
      </c>
      <c r="E14" s="4">
        <f>IF(ISERROR(ROUND(D14/D$10*100,1)),0,(ROUND(D14/D$10*100,1)))</f>
        <v>-4.9000000000000004</v>
      </c>
      <c r="F14" s="25">
        <v>-11851.20255</v>
      </c>
      <c r="G14" s="4">
        <f>IF(ISERROR(ROUND(F14/F$10*100,1)),0,(ROUND(F14/F$10*100,1)))</f>
        <v>-8.4</v>
      </c>
      <c r="H14" s="53">
        <v>0</v>
      </c>
      <c r="I14" s="4">
        <f>IF(ISERROR(ROUND(H14/H$10*100,1)),0,(ROUND(H14/H$10*100,1)))</f>
        <v>0</v>
      </c>
      <c r="J14" s="53">
        <v>0</v>
      </c>
      <c r="K14" s="4">
        <f>IF(ISERROR(ROUND(J14/J$10*100,1)),0,(ROUND(J14/J$10*100,1)))</f>
        <v>0</v>
      </c>
    </row>
    <row r="15" spans="1:11" x14ac:dyDescent="0.2">
      <c r="A15" s="36" t="s">
        <v>79</v>
      </c>
      <c r="B15" s="26">
        <f>SUM(B12:B14)</f>
        <v>3782.0041099999962</v>
      </c>
      <c r="C15" s="3">
        <f>ROUND(C12+C13+C14,1)</f>
        <v>4.3</v>
      </c>
      <c r="D15" s="26">
        <f>SUM(D12:D14)</f>
        <v>6670.6346900000044</v>
      </c>
      <c r="E15" s="3">
        <f>ROUND(E12+E13+E14,1)</f>
        <v>5</v>
      </c>
      <c r="F15" s="26">
        <f>SUM(F12:F14)</f>
        <v>11164.704759999991</v>
      </c>
      <c r="G15" s="3">
        <f>ROUND(G12+G13+G14,1)</f>
        <v>7.9</v>
      </c>
      <c r="H15" s="7">
        <f>H12+H14</f>
        <v>0</v>
      </c>
      <c r="I15" s="3">
        <f>ROUND(I12+I14,1)</f>
        <v>0</v>
      </c>
      <c r="J15" s="7">
        <f>J12+J14</f>
        <v>0</v>
      </c>
      <c r="K15" s="3">
        <f>ROUND(K12+K14,1)</f>
        <v>0</v>
      </c>
    </row>
    <row r="16" spans="1:11" x14ac:dyDescent="0.2">
      <c r="A16" s="33"/>
      <c r="B16" s="26"/>
      <c r="C16" s="3"/>
      <c r="D16" s="26"/>
      <c r="E16" s="3"/>
      <c r="F16" s="26"/>
      <c r="G16" s="3"/>
      <c r="H16" s="7"/>
      <c r="I16" s="3"/>
      <c r="J16" s="7"/>
      <c r="K16" s="3"/>
    </row>
    <row r="17" spans="1:11" x14ac:dyDescent="0.2">
      <c r="A17" s="33" t="s">
        <v>78</v>
      </c>
      <c r="B17" s="25">
        <v>-336.13211000000001</v>
      </c>
      <c r="C17" s="4">
        <f>IF(ISERROR(ROUND(B17/B$10*100,1)),0,(ROUND(B17/B$10*100,1)))</f>
        <v>-0.4</v>
      </c>
      <c r="D17" s="25">
        <v>-2223.4859999999999</v>
      </c>
      <c r="E17" s="4">
        <f>IF(ISERROR(ROUND(D17/D$10*100,1)),0,(ROUND(D17/D$10*100,1)))</f>
        <v>-1.6</v>
      </c>
      <c r="F17" s="25">
        <v>-5937.1758499999996</v>
      </c>
      <c r="G17" s="4">
        <f>IF(ISERROR(ROUND(F17/F$10*100,1)),0,(ROUND(F17/F$10*100,1)))</f>
        <v>-4.2</v>
      </c>
      <c r="H17" s="53">
        <v>0</v>
      </c>
      <c r="I17" s="4">
        <f>IF(ISERROR(ROUND(H17/H$10*100,1)),0,(ROUND(H17/H$10*100,1)))</f>
        <v>0</v>
      </c>
      <c r="J17" s="53">
        <v>0</v>
      </c>
      <c r="K17" s="4">
        <f>IF(ISERROR(ROUND(J17/J$10*100,1)),0,(ROUND(J17/J$10*100,1)))</f>
        <v>0</v>
      </c>
    </row>
    <row r="18" spans="1:11" x14ac:dyDescent="0.2">
      <c r="A18" s="36" t="s">
        <v>23</v>
      </c>
      <c r="B18" s="26">
        <f>B15+B17</f>
        <v>3445.8719999999962</v>
      </c>
      <c r="C18" s="3">
        <f>ROUND(C15+C17,1)</f>
        <v>3.9</v>
      </c>
      <c r="D18" s="26">
        <f>D15+D17</f>
        <v>4447.1486900000045</v>
      </c>
      <c r="E18" s="3">
        <f>ROUND(E15+E17,1)</f>
        <v>3.4</v>
      </c>
      <c r="F18" s="26">
        <f>F15+F17</f>
        <v>5227.5289099999918</v>
      </c>
      <c r="G18" s="3">
        <f>ROUND(G15+G17,1)</f>
        <v>3.7</v>
      </c>
      <c r="H18" s="7">
        <f>H15+H17</f>
        <v>0</v>
      </c>
      <c r="I18" s="3">
        <f>ROUND(I15+I17,1)</f>
        <v>0</v>
      </c>
      <c r="J18" s="7">
        <f>J15+J17</f>
        <v>0</v>
      </c>
      <c r="K18" s="3">
        <f>ROUND(K15+K17,1)</f>
        <v>0</v>
      </c>
    </row>
    <row r="19" spans="1:11" x14ac:dyDescent="0.2">
      <c r="A19" s="33"/>
      <c r="B19" s="54"/>
      <c r="C19" s="3"/>
      <c r="D19" s="54"/>
      <c r="E19" s="3"/>
      <c r="F19" s="54"/>
      <c r="G19" s="3"/>
      <c r="H19" s="50"/>
      <c r="I19" s="3"/>
      <c r="J19" s="50"/>
      <c r="K19" s="3"/>
    </row>
    <row r="20" spans="1:11" x14ac:dyDescent="0.2">
      <c r="A20" s="33" t="s">
        <v>24</v>
      </c>
      <c r="B20" s="24">
        <v>-119.5</v>
      </c>
      <c r="C20" s="13">
        <f>IF(ISERROR(ROUND(B20/B$10*100,1)),0,(ROUND(B20/B$10*100,1)))</f>
        <v>-0.1</v>
      </c>
      <c r="D20" s="24">
        <v>-584.79600000000005</v>
      </c>
      <c r="E20" s="13">
        <f>IF(ISERROR(ROUND(D20/D$10*100,1)),0,(ROUND(D20/D$10*100,1)))</f>
        <v>-0.4</v>
      </c>
      <c r="F20" s="24">
        <v>-1225.68796</v>
      </c>
      <c r="G20" s="13">
        <f>IF(ISERROR(ROUND(F20/F$10*100,1)),0,(ROUND(F20/F$10*100,1)))</f>
        <v>-0.9</v>
      </c>
      <c r="H20" s="50">
        <v>0</v>
      </c>
      <c r="I20" s="13">
        <f>IF(ISERROR(ROUND(H20/H$10*100,1)),0,(ROUND(H20/H$10*100,1)))</f>
        <v>0</v>
      </c>
      <c r="J20" s="50">
        <v>0</v>
      </c>
      <c r="K20" s="13">
        <f>IF(ISERROR(ROUND(J20/J$10*100,1)),0,(ROUND(J20/J$10*100,1)))</f>
        <v>0</v>
      </c>
    </row>
    <row r="21" spans="1:11" x14ac:dyDescent="0.2">
      <c r="A21" s="33" t="s">
        <v>25</v>
      </c>
      <c r="B21" s="27">
        <v>0</v>
      </c>
      <c r="C21" s="13">
        <f>IF(ISERROR(ROUND(B21/B$10*100,1)),0,(ROUND(B21/B$10*100,1)))</f>
        <v>0</v>
      </c>
      <c r="D21" s="27">
        <v>0</v>
      </c>
      <c r="E21" s="13">
        <f>IF(ISERROR(ROUND(D21/D$10*100,1)),0,(ROUND(D21/D$10*100,1)))</f>
        <v>0</v>
      </c>
      <c r="F21" s="27">
        <v>0</v>
      </c>
      <c r="G21" s="13">
        <f>IF(ISERROR(ROUND(F21/F$10*100,1)),0,(ROUND(F21/F$10*100,1)))</f>
        <v>0</v>
      </c>
      <c r="H21" s="51">
        <v>0</v>
      </c>
      <c r="I21" s="13">
        <f>IF(ISERROR(ROUND(H21/H$10*100,1)),0,(ROUND(H21/H$10*100,1)))</f>
        <v>0</v>
      </c>
      <c r="J21" s="51">
        <v>0</v>
      </c>
      <c r="K21" s="13">
        <f>IF(ISERROR(ROUND(J21/J$10*100,1)),0,(ROUND(J21/J$10*100,1)))</f>
        <v>0</v>
      </c>
    </row>
    <row r="22" spans="1:11" x14ac:dyDescent="0.2">
      <c r="A22" s="33"/>
      <c r="B22" s="26"/>
      <c r="C22" s="33"/>
      <c r="D22" s="26"/>
      <c r="E22" s="33"/>
      <c r="F22" s="26"/>
      <c r="G22" s="33"/>
      <c r="H22" s="53">
        <v>0</v>
      </c>
      <c r="I22" s="4">
        <f>IF(ISERROR(ROUND(H22/H$10*100,1)),0,(ROUND(H22/H$10*100,1)))</f>
        <v>0</v>
      </c>
      <c r="J22" s="53">
        <v>0</v>
      </c>
      <c r="K22" s="4">
        <f>IF(ISERROR(ROUND(J22/J$10*100,1)),0,(ROUND(J22/J$10*100,1)))</f>
        <v>0</v>
      </c>
    </row>
    <row r="23" spans="1:11" x14ac:dyDescent="0.2">
      <c r="A23" s="36" t="s">
        <v>26</v>
      </c>
      <c r="B23" s="26">
        <f>B18+B20+B21</f>
        <v>3326.3719999999962</v>
      </c>
      <c r="C23" s="3">
        <f>ROUND(C18+C20+C21+C13,1)</f>
        <v>4</v>
      </c>
      <c r="D23" s="26">
        <f>D18+D20+D21</f>
        <v>3862.3526900000043</v>
      </c>
      <c r="E23" s="3">
        <f>ROUND(E18+E20+E21+E13,1)</f>
        <v>3.1</v>
      </c>
      <c r="F23" s="26">
        <f>F18+F20+F21</f>
        <v>4001.8409499999916</v>
      </c>
      <c r="G23" s="3">
        <f>ROUND(G18+G20+G21+G13,1)</f>
        <v>3.2</v>
      </c>
      <c r="H23" s="7">
        <f>H18+H20+H21+H22</f>
        <v>0</v>
      </c>
      <c r="I23" s="3">
        <f>ROUND(I18+I20+I21+I22,1)</f>
        <v>0</v>
      </c>
      <c r="J23" s="7">
        <f>J18+J20+J21+J22</f>
        <v>0</v>
      </c>
      <c r="K23" s="3">
        <f>ROUND(K18+K20+K21+K22,1)</f>
        <v>0</v>
      </c>
    </row>
    <row r="24" spans="1:11" x14ac:dyDescent="0.2">
      <c r="A24" s="36"/>
      <c r="B24" s="26"/>
      <c r="C24" s="3"/>
      <c r="D24" s="26"/>
      <c r="E24" s="3"/>
      <c r="F24" s="26"/>
      <c r="G24" s="3"/>
      <c r="H24" s="7"/>
      <c r="I24" s="3"/>
      <c r="J24" s="7"/>
      <c r="K24" s="3"/>
    </row>
    <row r="25" spans="1:11" x14ac:dyDescent="0.2">
      <c r="A25" s="33" t="s">
        <v>28</v>
      </c>
      <c r="B25" s="27">
        <v>-199.35959</v>
      </c>
      <c r="C25" s="13">
        <f>IF(ISERROR(ROUND(B25/B$10*100,1)),0,(ROUND(B25/B$10*100,1)))</f>
        <v>-0.2</v>
      </c>
      <c r="D25" s="27">
        <v>-325.31200000000001</v>
      </c>
      <c r="E25" s="13">
        <f>IF(ISERROR(ROUND(D25/D$10*100,1)),0,(ROUND(D25/D$10*100,1)))</f>
        <v>-0.2</v>
      </c>
      <c r="F25" s="27">
        <v>-388.80821999999995</v>
      </c>
      <c r="G25" s="13">
        <f>IF(ISERROR(ROUND(F25/F$10*100,1)),0,(ROUND(F25/F$10*100,1)))</f>
        <v>-0.3</v>
      </c>
      <c r="H25" s="51">
        <v>0</v>
      </c>
      <c r="I25" s="13">
        <f>IF(ISERROR(ROUND(H25/H$10*100,1)),0,(ROUND(H25/H$10*100,1)))</f>
        <v>0</v>
      </c>
      <c r="J25" s="51">
        <v>0</v>
      </c>
      <c r="K25" s="13">
        <f>IF(ISERROR(ROUND(J25/J$10*100,1)),0,(ROUND(J25/J$10*100,1)))</f>
        <v>0</v>
      </c>
    </row>
    <row r="26" spans="1:11" x14ac:dyDescent="0.2">
      <c r="A26" s="33" t="s">
        <v>27</v>
      </c>
      <c r="B26" s="27">
        <v>0</v>
      </c>
      <c r="C26" s="4">
        <f>IF(ISERROR(ROUND(B26/B$10*100,1)),0,(ROUND(B26/B$10*100,1)))</f>
        <v>0</v>
      </c>
      <c r="D26" s="27">
        <v>0</v>
      </c>
      <c r="E26" s="4">
        <f>IF(ISERROR(ROUND(D26/D$10*100,1)),0,(ROUND(D26/D$10*100,1)))</f>
        <v>0</v>
      </c>
      <c r="F26" s="27">
        <v>0</v>
      </c>
      <c r="G26" s="4">
        <f>IF(ISERROR(ROUND(F26/F$10*100,1)),0,(ROUND(F26/F$10*100,1)))</f>
        <v>0</v>
      </c>
      <c r="H26" s="51">
        <v>0</v>
      </c>
      <c r="I26" s="4">
        <f>IF(ISERROR(ROUND(H26/H$10*100,1)),0,(ROUND(H26/H$10*100,1)))</f>
        <v>0</v>
      </c>
      <c r="J26" s="51">
        <v>0</v>
      </c>
      <c r="K26" s="4">
        <f>IF(ISERROR(ROUND(J26/J$10*100,1)),0,(ROUND(J26/J$10*100,1)))</f>
        <v>0</v>
      </c>
    </row>
    <row r="27" spans="1:11" ht="15.75" thickBot="1" x14ac:dyDescent="0.25">
      <c r="A27" s="33" t="s">
        <v>29</v>
      </c>
      <c r="B27" s="28">
        <f>B23+B25+B26</f>
        <v>3127.0124099999962</v>
      </c>
      <c r="C27" s="5">
        <f>ROUND(C23+C25+C26,1)</f>
        <v>3.8</v>
      </c>
      <c r="D27" s="28">
        <f>D23+D25+D26</f>
        <v>3537.0406900000044</v>
      </c>
      <c r="E27" s="5">
        <f>ROUND(E23+E25+E26,1)</f>
        <v>2.9</v>
      </c>
      <c r="F27" s="28">
        <f>F23+F25+F26</f>
        <v>3613.0327299999917</v>
      </c>
      <c r="G27" s="5">
        <f>ROUND(G23+G25+G26,1)</f>
        <v>2.9</v>
      </c>
      <c r="H27" s="23">
        <f>H23+H25+H26</f>
        <v>0</v>
      </c>
      <c r="I27" s="5">
        <f>ROUND(I23+I25+I26,1)</f>
        <v>0</v>
      </c>
      <c r="J27" s="23">
        <f>J23+J25+J26</f>
        <v>0</v>
      </c>
      <c r="K27" s="5">
        <f>ROUND(K23+K25+K26,1)</f>
        <v>0</v>
      </c>
    </row>
    <row r="28" spans="1:11" ht="15.75" thickTop="1" x14ac:dyDescent="0.2">
      <c r="A28" s="33"/>
      <c r="B28" s="63"/>
      <c r="C28" s="63"/>
      <c r="D28" s="63"/>
      <c r="E28" s="63"/>
      <c r="F28" s="63"/>
      <c r="G28" s="63"/>
      <c r="H28" s="63"/>
      <c r="I28" s="63"/>
      <c r="J28" s="63"/>
      <c r="K28" s="63"/>
    </row>
    <row r="29" spans="1:11" x14ac:dyDescent="0.2">
      <c r="A29" s="33"/>
      <c r="B29" s="33"/>
      <c r="C29" s="33"/>
      <c r="D29" s="33"/>
      <c r="E29" s="33"/>
      <c r="F29" s="33"/>
      <c r="G29" s="33"/>
      <c r="H29" s="33"/>
      <c r="I29" s="33"/>
      <c r="J29" s="33"/>
      <c r="K29" s="33"/>
    </row>
    <row r="30" spans="1:11" x14ac:dyDescent="0.2">
      <c r="A30" s="33"/>
      <c r="B30" s="33"/>
      <c r="C30" s="33"/>
      <c r="D30" s="33"/>
      <c r="E30" s="33"/>
      <c r="F30" s="33"/>
      <c r="G30" s="33"/>
      <c r="H30" s="33"/>
      <c r="I30" s="33"/>
      <c r="J30" s="33"/>
      <c r="K30" s="33"/>
    </row>
    <row r="31" spans="1:11" x14ac:dyDescent="0.2">
      <c r="A31" s="33" t="s">
        <v>52</v>
      </c>
      <c r="B31" s="7">
        <f>B15</f>
        <v>3782.0041099999962</v>
      </c>
      <c r="C31" s="33"/>
      <c r="D31" s="7">
        <f>D15</f>
        <v>6670.6346900000044</v>
      </c>
      <c r="E31" s="33"/>
      <c r="F31" s="7">
        <f>F15</f>
        <v>11164.704759999991</v>
      </c>
      <c r="G31" s="33"/>
      <c r="H31" s="7" t="e">
        <f>H18+#REF!</f>
        <v>#REF!</v>
      </c>
      <c r="I31" s="33"/>
      <c r="J31" s="7" t="e">
        <f>J18+#REF!</f>
        <v>#REF!</v>
      </c>
      <c r="K31" s="33"/>
    </row>
    <row r="32" spans="1:11" x14ac:dyDescent="0.2">
      <c r="A32" s="33" t="s">
        <v>53</v>
      </c>
      <c r="B32" s="3">
        <f>IF(ISERROR(B$10/'Balance Sheet'!B22),0,B$10/'Balance Sheet'!B22)</f>
        <v>2.4326653985467162</v>
      </c>
      <c r="C32" s="33"/>
      <c r="D32" s="3">
        <f>IF(ISERROR(D$10/'Balance Sheet'!D22),0,D$10/'Balance Sheet'!D22)</f>
        <v>2.3651200611587564</v>
      </c>
      <c r="E32" s="33"/>
      <c r="F32" s="3">
        <f>IF(ISERROR(F$10/'Balance Sheet'!F22),0,F$10/'Balance Sheet'!F22)</f>
        <v>2.1216773827884645</v>
      </c>
      <c r="G32" s="33"/>
      <c r="H32" s="3">
        <f>IF(ISERROR(H$10/'Balance Sheet'!H22),0,H$10/'Balance Sheet'!H22)</f>
        <v>0</v>
      </c>
      <c r="I32" s="33"/>
      <c r="J32" s="3">
        <f>IF(ISERROR(J$10/'Balance Sheet'!J22),0,J$10/'Balance Sheet'!J22)</f>
        <v>0</v>
      </c>
      <c r="K32" s="33"/>
    </row>
    <row r="33" spans="1:11" x14ac:dyDescent="0.2">
      <c r="A33" s="38" t="s">
        <v>49</v>
      </c>
      <c r="B33" s="3">
        <f>IF(ISERROR(B27/'Balance Sheet'!B22*100),0,B27/'Balance Sheet'!B22*100)</f>
        <v>8.5424963878250555</v>
      </c>
      <c r="C33" s="33"/>
      <c r="D33" s="3">
        <f>IF(ISERROR(D27/'Balance Sheet'!D22*100),0,D27/'Balance Sheet'!D22*100)</f>
        <v>6.1897965256863614</v>
      </c>
      <c r="E33" s="33"/>
      <c r="F33" s="3">
        <f>IF(ISERROR(F27/'Balance Sheet'!F22*100),0,F27/'Balance Sheet'!F22*100)</f>
        <v>5.4244349022307272</v>
      </c>
      <c r="G33" s="33"/>
      <c r="H33" s="3">
        <f>IF(ISERROR(H27/'Balance Sheet'!H22*100),0,H27/'Balance Sheet'!H22*100)</f>
        <v>0</v>
      </c>
      <c r="I33" s="33"/>
      <c r="J33" s="3">
        <f>IF(ISERROR(J27/'Balance Sheet'!J22*100),0,J27/'Balance Sheet'!J22*100)</f>
        <v>0</v>
      </c>
      <c r="K33" s="33"/>
    </row>
    <row r="34" spans="1:11" x14ac:dyDescent="0.2">
      <c r="A34" s="38" t="s">
        <v>50</v>
      </c>
      <c r="B34" s="3">
        <f>IF('Balance Sheet'!B45&lt;0,NA(),IF(ISERROR(B27/'Balance Sheet'!B45*100),0,B27/'Balance Sheet'!B45*100))</f>
        <v>41.126825973848284</v>
      </c>
      <c r="C34" s="33"/>
      <c r="D34" s="3">
        <f>IF('Balance Sheet'!D45&lt;0,NA(),IF(ISERROR(D27/'Balance Sheet'!D45*100),0,D27/'Balance Sheet'!D45*100))</f>
        <v>36.689843378596798</v>
      </c>
      <c r="E34" s="33"/>
      <c r="F34" s="3">
        <f>IF('Balance Sheet'!F45&lt;0,NA(),IF(ISERROR(F27/'Balance Sheet'!F45*100),0,F27/'Balance Sheet'!F45*100))</f>
        <v>32.10610187315833</v>
      </c>
      <c r="G34" s="33"/>
      <c r="H34" s="3">
        <f>IF('Balance Sheet'!H45&lt;0,NA(),IF(ISERROR(H27/'Balance Sheet'!H45*100),0,H27/'Balance Sheet'!H45*100))</f>
        <v>0</v>
      </c>
      <c r="I34" s="33"/>
      <c r="J34" s="3">
        <f>IF('Balance Sheet'!J45&lt;0,NA(),IF(ISERROR(J27/'Balance Sheet'!J45*100),0,J27/'Balance Sheet'!J45*100))</f>
        <v>0</v>
      </c>
      <c r="K34" s="33"/>
    </row>
    <row r="35" spans="1:11" x14ac:dyDescent="0.2">
      <c r="A35" s="36" t="s">
        <v>55</v>
      </c>
      <c r="B35" s="3">
        <f>IF(B20=0,0,IF((B23-B20)/-B20&lt;0,0,(B23-B20)/-B20))</f>
        <v>28.835748953974864</v>
      </c>
      <c r="C35" s="33"/>
      <c r="D35" s="3">
        <f>IF(D20=0,0,IF((D23-D20)/-D20&lt;0,0,(D23-D20)/-D20))</f>
        <v>7.604615438546098</v>
      </c>
      <c r="E35" s="33"/>
      <c r="F35" s="3">
        <f>IF(F20=0,0,IF((F23-F20)/-F20&lt;0,0,(F23-F20)/-F20))</f>
        <v>4.2649753286309444</v>
      </c>
      <c r="G35" s="33"/>
      <c r="H35" s="3">
        <f>IF(H20=0,0,IF((H23-H20)/-H20&lt;0,0,(H23-H20)/-H20))</f>
        <v>0</v>
      </c>
      <c r="I35" s="33"/>
      <c r="J35" s="3">
        <f>IF(J20=0,0,IF((J23-J20)/-J20&lt;0,0,(J23-J20)/-J20))</f>
        <v>0</v>
      </c>
      <c r="K35" s="33"/>
    </row>
    <row r="36" spans="1:11" x14ac:dyDescent="0.2">
      <c r="A36" s="33"/>
      <c r="B36" s="33"/>
      <c r="C36" s="33"/>
      <c r="D36" s="33"/>
      <c r="E36" s="33"/>
      <c r="F36" s="33"/>
      <c r="G36" s="33"/>
      <c r="H36" s="33"/>
      <c r="I36" s="33"/>
      <c r="J36" s="33"/>
      <c r="K36" s="33"/>
    </row>
    <row r="37" spans="1:11" x14ac:dyDescent="0.2">
      <c r="A37" s="64" t="s">
        <v>51</v>
      </c>
      <c r="B37" s="33"/>
      <c r="C37" s="33"/>
      <c r="D37" s="33"/>
      <c r="E37" s="33"/>
      <c r="F37" s="33"/>
      <c r="G37" s="33"/>
      <c r="H37" s="33"/>
      <c r="I37" s="33"/>
      <c r="J37" s="33"/>
      <c r="K37" s="33"/>
    </row>
    <row r="38" spans="1:11" x14ac:dyDescent="0.2">
      <c r="A38" s="33"/>
      <c r="B38" s="33"/>
      <c r="C38" s="33"/>
      <c r="D38" s="33"/>
      <c r="E38" s="33"/>
      <c r="F38" s="33"/>
      <c r="G38" s="33"/>
      <c r="H38" s="33"/>
      <c r="I38" s="33"/>
      <c r="J38" s="33"/>
      <c r="K38" s="33"/>
    </row>
    <row r="39" spans="1:11" x14ac:dyDescent="0.2">
      <c r="A39" s="33"/>
      <c r="B39" s="33"/>
      <c r="C39" s="33"/>
      <c r="D39" s="33"/>
      <c r="E39" s="33"/>
      <c r="F39" s="33"/>
      <c r="G39" s="33"/>
      <c r="H39" s="33"/>
      <c r="I39" s="33"/>
      <c r="J39" s="33"/>
      <c r="K39" s="33"/>
    </row>
    <row r="43" spans="1:11" x14ac:dyDescent="0.2">
      <c r="A43" s="18"/>
    </row>
    <row r="44" spans="1:11" x14ac:dyDescent="0.2">
      <c r="A44" s="19"/>
    </row>
    <row r="180" spans="3:5" x14ac:dyDescent="0.2">
      <c r="E180" s="1" t="s">
        <v>10</v>
      </c>
    </row>
    <row r="182" spans="3:5" x14ac:dyDescent="0.2">
      <c r="C182" s="2"/>
    </row>
  </sheetData>
  <sheetProtection password="EFE6" sheet="1" objects="1" scenarios="1"/>
  <mergeCells count="11">
    <mergeCell ref="D8:E8"/>
    <mergeCell ref="F8:G8"/>
    <mergeCell ref="H8:I8"/>
    <mergeCell ref="J8:K8"/>
    <mergeCell ref="A1:K1"/>
    <mergeCell ref="A2:K2"/>
    <mergeCell ref="A3:K3"/>
    <mergeCell ref="A4:K4"/>
    <mergeCell ref="A5:K5"/>
    <mergeCell ref="A6:K6"/>
    <mergeCell ref="B8:C8"/>
  </mergeCells>
  <phoneticPr fontId="0" type="noConversion"/>
  <printOptions horizontalCentered="1"/>
  <pageMargins left="0.5" right="0.5" top="1" bottom="0.82" header="0.38" footer="0.5"/>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4"/>
  <sheetViews>
    <sheetView zoomScale="75" zoomScaleNormal="60" workbookViewId="0">
      <pane xSplit="1" ySplit="9" topLeftCell="B16" activePane="bottomRight" state="frozen"/>
      <selection activeCell="A2" sqref="A2:E2"/>
      <selection pane="topRight" activeCell="A2" sqref="A2:E2"/>
      <selection pane="bottomLeft" activeCell="A2" sqref="A2:E2"/>
      <selection pane="bottomRight" activeCell="N33" sqref="N33"/>
    </sheetView>
  </sheetViews>
  <sheetFormatPr defaultRowHeight="15" x14ac:dyDescent="0.2"/>
  <cols>
    <col min="1" max="1" width="46.625" style="1" customWidth="1"/>
    <col min="2" max="2" width="14.625" style="1" customWidth="1"/>
    <col min="3" max="3" width="8.375" style="1" customWidth="1"/>
    <col min="4" max="4" width="14.625" style="1" customWidth="1"/>
    <col min="5" max="5" width="8.375" style="1" customWidth="1"/>
    <col min="6" max="6" width="14.625" style="1" customWidth="1"/>
    <col min="7" max="7" width="8.125" style="1" customWidth="1"/>
    <col min="8" max="8" width="11.875" style="1" hidden="1" customWidth="1"/>
    <col min="9" max="9" width="8.875" style="1" hidden="1" customWidth="1"/>
    <col min="10" max="10" width="11.875" style="1" hidden="1" customWidth="1"/>
    <col min="11" max="11" width="8.375" style="1" hidden="1" customWidth="1"/>
    <col min="12" max="16384" width="9" style="1"/>
  </cols>
  <sheetData>
    <row r="1" spans="1:11" x14ac:dyDescent="0.2">
      <c r="A1" s="81" t="str">
        <f>'Income Statement'!A1:G1</f>
        <v>ABC Company</v>
      </c>
      <c r="B1" s="81"/>
      <c r="C1" s="81"/>
      <c r="D1" s="81"/>
      <c r="E1" s="81"/>
      <c r="F1" s="81"/>
      <c r="G1" s="81"/>
      <c r="H1" s="82"/>
      <c r="I1" s="82"/>
      <c r="J1" s="82"/>
      <c r="K1" s="82"/>
    </row>
    <row r="2" spans="1:11" ht="15.75" x14ac:dyDescent="0.25">
      <c r="A2" s="70" t="s">
        <v>31</v>
      </c>
      <c r="B2" s="70"/>
      <c r="C2" s="70"/>
      <c r="D2" s="70"/>
      <c r="E2" s="70"/>
      <c r="F2" s="70"/>
      <c r="G2" s="70"/>
      <c r="H2" s="79"/>
      <c r="I2" s="79"/>
      <c r="J2" s="79"/>
      <c r="K2" s="79"/>
    </row>
    <row r="3" spans="1:11" x14ac:dyDescent="0.2">
      <c r="A3" s="73" t="s">
        <v>54</v>
      </c>
      <c r="B3" s="73"/>
      <c r="C3" s="73"/>
      <c r="D3" s="73"/>
      <c r="E3" s="73"/>
      <c r="F3" s="73"/>
      <c r="G3" s="73"/>
      <c r="H3" s="71"/>
      <c r="I3" s="71"/>
      <c r="J3" s="71"/>
      <c r="K3" s="71"/>
    </row>
    <row r="4" spans="1:11" x14ac:dyDescent="0.2">
      <c r="A4" s="81" t="str">
        <f>'Income Statement'!A4:G4</f>
        <v>Dec 31</v>
      </c>
      <c r="B4" s="81"/>
      <c r="C4" s="81"/>
      <c r="D4" s="81"/>
      <c r="E4" s="81"/>
      <c r="F4" s="81"/>
      <c r="G4" s="81"/>
      <c r="H4" s="82"/>
      <c r="I4" s="82"/>
      <c r="J4" s="82"/>
      <c r="K4" s="82"/>
    </row>
    <row r="5" spans="1:11" x14ac:dyDescent="0.2">
      <c r="A5" s="73"/>
      <c r="B5" s="73"/>
      <c r="C5" s="73"/>
      <c r="D5" s="73"/>
      <c r="E5" s="73"/>
      <c r="F5" s="73"/>
      <c r="G5" s="73"/>
      <c r="H5" s="71"/>
      <c r="I5" s="71"/>
      <c r="J5" s="71"/>
      <c r="K5" s="71"/>
    </row>
    <row r="6" spans="1:11" x14ac:dyDescent="0.2">
      <c r="A6" s="21"/>
      <c r="B6" s="21"/>
      <c r="C6" s="21"/>
      <c r="D6" s="21"/>
      <c r="E6" s="21"/>
      <c r="F6" s="21"/>
      <c r="G6" s="21"/>
      <c r="H6" s="33"/>
      <c r="I6" s="33"/>
      <c r="J6" s="33"/>
      <c r="K6" s="33"/>
    </row>
    <row r="7" spans="1:11" x14ac:dyDescent="0.2">
      <c r="A7" s="33"/>
      <c r="B7" s="33"/>
      <c r="C7" s="47"/>
      <c r="D7" s="47"/>
      <c r="E7" s="47"/>
      <c r="F7" s="48"/>
      <c r="G7" s="33"/>
      <c r="H7" s="33"/>
      <c r="I7" s="33"/>
      <c r="J7" s="33"/>
      <c r="K7" s="33"/>
    </row>
    <row r="8" spans="1:11" ht="15.75" x14ac:dyDescent="0.25">
      <c r="A8" s="33"/>
      <c r="B8" s="65">
        <f>'Income Statement'!B$8</f>
        <v>2016</v>
      </c>
      <c r="C8" s="65">
        <f>'Income Statement'!D$8</f>
        <v>2017</v>
      </c>
      <c r="D8" s="65">
        <f>B8+1</f>
        <v>2017</v>
      </c>
      <c r="E8" s="65"/>
      <c r="F8" s="65">
        <f>D8+1</f>
        <v>2018</v>
      </c>
      <c r="G8" s="65"/>
      <c r="H8" s="65">
        <f>F8+1</f>
        <v>2019</v>
      </c>
      <c r="I8" s="65"/>
      <c r="J8" s="65">
        <f>H8+1</f>
        <v>2020</v>
      </c>
      <c r="K8" s="65"/>
    </row>
    <row r="9" spans="1:11" x14ac:dyDescent="0.2">
      <c r="A9" s="31" t="s">
        <v>13</v>
      </c>
      <c r="B9" s="49" t="s">
        <v>11</v>
      </c>
      <c r="C9" s="49" t="s">
        <v>12</v>
      </c>
      <c r="D9" s="49" t="s">
        <v>11</v>
      </c>
      <c r="E9" s="49" t="s">
        <v>12</v>
      </c>
      <c r="F9" s="49" t="s">
        <v>11</v>
      </c>
      <c r="G9" s="49" t="s">
        <v>12</v>
      </c>
      <c r="H9" s="49" t="s">
        <v>11</v>
      </c>
      <c r="I9" s="49" t="s">
        <v>12</v>
      </c>
      <c r="J9" s="49" t="s">
        <v>11</v>
      </c>
      <c r="K9" s="49" t="s">
        <v>12</v>
      </c>
    </row>
    <row r="10" spans="1:11" x14ac:dyDescent="0.2">
      <c r="A10" s="36" t="s">
        <v>14</v>
      </c>
      <c r="B10" s="8">
        <v>3474.556</v>
      </c>
      <c r="C10" s="3">
        <f>IF(ISERROR(ROUND(B10/B$22*100,1)),0,(ROUND(B10/B$22*100,1)))</f>
        <v>9.5</v>
      </c>
      <c r="D10" s="8">
        <v>4458.0990000000002</v>
      </c>
      <c r="E10" s="3">
        <f>IF(ISERROR(ROUND(D10/D$22*100,1)),0,(ROUND(D10/D$22*100,1)))</f>
        <v>7.8</v>
      </c>
      <c r="F10" s="8">
        <v>4710.7455399999999</v>
      </c>
      <c r="G10" s="3">
        <f>IF(ISERROR(ROUND(F10/F$22*100,1)),0,(ROUND(F10/F$22*100,1)))</f>
        <v>7.1</v>
      </c>
      <c r="H10" s="50">
        <v>0</v>
      </c>
      <c r="I10" s="3">
        <f>IF(ISERROR(ROUND(H10/H$22*100,1)),0,(ROUND(H10/H$22*100,1)))</f>
        <v>0</v>
      </c>
      <c r="J10" s="50">
        <v>0</v>
      </c>
      <c r="K10" s="3">
        <f>IF(ISERROR(ROUND(J10/J$22*100,1)),0,(ROUND(J10/J$22*100,1)))</f>
        <v>0</v>
      </c>
    </row>
    <row r="11" spans="1:11" x14ac:dyDescent="0.2">
      <c r="A11" s="33" t="s">
        <v>32</v>
      </c>
      <c r="B11" s="8">
        <v>14500.263000000001</v>
      </c>
      <c r="C11" s="3">
        <f t="shared" ref="C11:E14" si="0">IF(ISERROR(ROUND(B11/B$22*100,1)),0,(ROUND(B11/B$22*100,1)))</f>
        <v>39.6</v>
      </c>
      <c r="D11" s="8">
        <v>22211.667000000001</v>
      </c>
      <c r="E11" s="3">
        <f t="shared" si="0"/>
        <v>38.9</v>
      </c>
      <c r="F11" s="8">
        <v>16272.703100000001</v>
      </c>
      <c r="G11" s="3">
        <f>IF(ISERROR(ROUND(F11/F$22*100,1)),0,(ROUND(F11/F$22*100,1)))</f>
        <v>24.4</v>
      </c>
      <c r="H11" s="50">
        <v>0</v>
      </c>
      <c r="I11" s="3">
        <f>IF(ISERROR(ROUND(H11/H$22*100,1)),0,(ROUND(H11/H$22*100,1)))</f>
        <v>0</v>
      </c>
      <c r="J11" s="50">
        <v>0</v>
      </c>
      <c r="K11" s="3">
        <f>IF(ISERROR(ROUND(J11/J$22*100,1)),0,(ROUND(J11/J$22*100,1)))</f>
        <v>0</v>
      </c>
    </row>
    <row r="12" spans="1:11" x14ac:dyDescent="0.2">
      <c r="A12" s="33" t="s">
        <v>1</v>
      </c>
      <c r="B12" s="12">
        <v>9219.9339999999993</v>
      </c>
      <c r="C12" s="3">
        <f t="shared" si="0"/>
        <v>25.2</v>
      </c>
      <c r="D12" s="12">
        <v>11657.911</v>
      </c>
      <c r="E12" s="3">
        <f t="shared" si="0"/>
        <v>20.399999999999999</v>
      </c>
      <c r="F12" s="12">
        <v>11561.432050000001</v>
      </c>
      <c r="G12" s="3">
        <f>IF(ISERROR(ROUND(F12/F$22*100,1)),0,(ROUND(F12/F$22*100,1)))</f>
        <v>17.399999999999999</v>
      </c>
      <c r="H12" s="51">
        <v>0</v>
      </c>
      <c r="I12" s="3">
        <f>IF(ISERROR(ROUND(H12/H$22*100,1)),0,(ROUND(H12/H$22*100,1)))</f>
        <v>0</v>
      </c>
      <c r="J12" s="51">
        <v>0</v>
      </c>
      <c r="K12" s="3">
        <f>IF(ISERROR(ROUND(J12/J$22*100,1)),0,(ROUND(J12/J$22*100,1)))</f>
        <v>0</v>
      </c>
    </row>
    <row r="13" spans="1:11" x14ac:dyDescent="0.2">
      <c r="A13" s="33" t="s">
        <v>17</v>
      </c>
      <c r="B13" s="12">
        <v>0</v>
      </c>
      <c r="C13" s="3">
        <f t="shared" si="0"/>
        <v>0</v>
      </c>
      <c r="D13" s="12">
        <v>0</v>
      </c>
      <c r="E13" s="3">
        <f t="shared" si="0"/>
        <v>0</v>
      </c>
      <c r="F13" s="12">
        <v>0</v>
      </c>
      <c r="G13" s="3">
        <f>IF(ISERROR(ROUND(F13/F$22*100,1)),0,(ROUND(F13/F$22*100,1)))</f>
        <v>0</v>
      </c>
      <c r="H13" s="51">
        <v>0</v>
      </c>
      <c r="I13" s="3">
        <f>IF(ISERROR(ROUND(H13/H$22*100,1)),0,(ROUND(H13/H$22*100,1)))</f>
        <v>0</v>
      </c>
      <c r="J13" s="51">
        <v>0</v>
      </c>
      <c r="K13" s="3">
        <f>IF(ISERROR(ROUND(J13/J$22*100,1)),0,(ROUND(J13/J$22*100,1)))</f>
        <v>0</v>
      </c>
    </row>
    <row r="14" spans="1:11" x14ac:dyDescent="0.2">
      <c r="A14" s="52" t="s">
        <v>33</v>
      </c>
      <c r="B14" s="22">
        <v>300.839</v>
      </c>
      <c r="C14" s="4">
        <f t="shared" si="0"/>
        <v>0.8</v>
      </c>
      <c r="D14" s="22">
        <v>187.87100000000001</v>
      </c>
      <c r="E14" s="4">
        <f t="shared" si="0"/>
        <v>0.3</v>
      </c>
      <c r="F14" s="22">
        <v>147.70501999999999</v>
      </c>
      <c r="G14" s="4">
        <f>IF(ISERROR(ROUND(F14/F$22*100,1)),0,(ROUND(F14/F$22*100,1)))</f>
        <v>0.2</v>
      </c>
      <c r="H14" s="53">
        <v>0</v>
      </c>
      <c r="I14" s="4">
        <f>IF(ISERROR(ROUND(H14/H$22*100,1)),0,(ROUND(H14/H$22*100,1)))</f>
        <v>0</v>
      </c>
      <c r="J14" s="53">
        <v>0</v>
      </c>
      <c r="K14" s="4">
        <f>IF(ISERROR(ROUND(J14/J$22*100,1)),0,(ROUND(J14/J$22*100,1)))</f>
        <v>0</v>
      </c>
    </row>
    <row r="15" spans="1:11" x14ac:dyDescent="0.2">
      <c r="A15" s="33" t="s">
        <v>34</v>
      </c>
      <c r="B15" s="7">
        <f t="shared" ref="B15:G15" si="1">SUM(B10:B14)</f>
        <v>27495.591999999997</v>
      </c>
      <c r="C15" s="3">
        <f t="shared" si="1"/>
        <v>75.099999999999994</v>
      </c>
      <c r="D15" s="7">
        <f t="shared" si="1"/>
        <v>38515.548000000003</v>
      </c>
      <c r="E15" s="3">
        <f t="shared" si="1"/>
        <v>67.399999999999991</v>
      </c>
      <c r="F15" s="7">
        <f t="shared" si="1"/>
        <v>32692.585710000007</v>
      </c>
      <c r="G15" s="3">
        <f t="shared" si="1"/>
        <v>49.1</v>
      </c>
      <c r="H15" s="7">
        <f>SUM(H10:H14)</f>
        <v>0</v>
      </c>
      <c r="I15" s="3">
        <f>SUM(I10:I14)</f>
        <v>0</v>
      </c>
      <c r="J15" s="7">
        <f>SUM(J10:J14)</f>
        <v>0</v>
      </c>
      <c r="K15" s="3">
        <f>SUM(K10:K14)</f>
        <v>0</v>
      </c>
    </row>
    <row r="16" spans="1:11" x14ac:dyDescent="0.2">
      <c r="A16" s="33"/>
      <c r="B16" s="7"/>
      <c r="C16" s="3"/>
      <c r="D16" s="7"/>
      <c r="E16" s="3"/>
      <c r="F16" s="7"/>
      <c r="G16" s="3"/>
      <c r="H16" s="7"/>
      <c r="I16" s="3"/>
      <c r="J16" s="7"/>
      <c r="K16" s="3"/>
    </row>
    <row r="17" spans="1:11" x14ac:dyDescent="0.2">
      <c r="A17" s="33" t="s">
        <v>35</v>
      </c>
      <c r="B17" s="24">
        <v>3104.3820000000001</v>
      </c>
      <c r="C17" s="3">
        <f>IF(ISERROR(ROUND(B17/B$22*100,1)),0,(ROUND(B17/B$22*100,1)))</f>
        <v>8.5</v>
      </c>
      <c r="D17" s="24">
        <v>2994.8440000000001</v>
      </c>
      <c r="E17" s="3">
        <f>IF(ISERROR(ROUND(D17/D$22*100,1)),0,(ROUND(D17/D$22*100,1)))</f>
        <v>5.2</v>
      </c>
      <c r="F17" s="24">
        <v>1304.8354800000002</v>
      </c>
      <c r="G17" s="3">
        <f>IF(ISERROR(ROUND(F17/F$22*100,1)),0,(ROUND(F17/F$22*100,1)))</f>
        <v>2</v>
      </c>
      <c r="H17" s="50">
        <v>0</v>
      </c>
      <c r="I17" s="3">
        <f>IF(ISERROR(ROUND(H17/H$22*100,1)),0,(ROUND(H17/H$22*100,1)))</f>
        <v>0</v>
      </c>
      <c r="J17" s="50">
        <v>0</v>
      </c>
      <c r="K17" s="3">
        <f>IF(ISERROR(ROUND(J17/J$22*100,1)),0,(ROUND(J17/J$22*100,1)))</f>
        <v>0</v>
      </c>
    </row>
    <row r="18" spans="1:11" x14ac:dyDescent="0.2">
      <c r="A18" s="33" t="s">
        <v>36</v>
      </c>
      <c r="B18" s="24">
        <v>60</v>
      </c>
      <c r="C18" s="3">
        <f>IF(ISERROR(ROUND(B18/B$22*100,1)),0,(ROUND(B18/B$22*100,1)))</f>
        <v>0.2</v>
      </c>
      <c r="D18" s="24">
        <v>60</v>
      </c>
      <c r="E18" s="3">
        <f>IF(ISERROR(ROUND(D18/D$22*100,1)),0,(ROUND(D18/D$22*100,1)))</f>
        <v>0.1</v>
      </c>
      <c r="F18" s="24">
        <v>0</v>
      </c>
      <c r="G18" s="3">
        <f>IF(ISERROR(ROUND(F18/F$22*100,1)),0,(ROUND(F18/F$22*100,1)))</f>
        <v>0</v>
      </c>
      <c r="H18" s="50">
        <v>0</v>
      </c>
      <c r="I18" s="3">
        <f>IF(ISERROR(ROUND(H18/H$22*100,1)),0,(ROUND(H18/H$22*100,1)))</f>
        <v>0</v>
      </c>
      <c r="J18" s="50">
        <v>0</v>
      </c>
      <c r="K18" s="3">
        <f>IF(ISERROR(ROUND(J18/J$22*100,1)),0,(ROUND(J18/J$22*100,1)))</f>
        <v>0</v>
      </c>
    </row>
    <row r="19" spans="1:11" x14ac:dyDescent="0.2">
      <c r="A19" s="33" t="s">
        <v>37</v>
      </c>
      <c r="B19" s="24">
        <v>5912.3959999999997</v>
      </c>
      <c r="C19" s="3">
        <f>IF(ISERROR(ROUND(B19/B$22*100,1)),0,(ROUND(B19/B$22*100,1)))</f>
        <v>16.2</v>
      </c>
      <c r="D19" s="24">
        <v>15539.692999999999</v>
      </c>
      <c r="E19" s="3">
        <f>IF(ISERROR(ROUND(D19/D$22*100,1)),0,(ROUND(D19/D$22*100,1)))</f>
        <v>27.2</v>
      </c>
      <c r="F19" s="24">
        <v>32549.198579999997</v>
      </c>
      <c r="G19" s="3">
        <f>IF(ISERROR(ROUND(F19/F$22*100,1)),0,(ROUND(F19/F$22*100,1)))</f>
        <v>48.9</v>
      </c>
      <c r="H19" s="50">
        <v>0</v>
      </c>
      <c r="I19" s="3">
        <f>IF(ISERROR(ROUND(H19/H$22*100,1)),0,(ROUND(H19/H$22*100,1)))</f>
        <v>0</v>
      </c>
      <c r="J19" s="50">
        <v>0</v>
      </c>
      <c r="K19" s="3">
        <f>IF(ISERROR(ROUND(J19/J$22*100,1)),0,(ROUND(J19/J$22*100,1)))</f>
        <v>0</v>
      </c>
    </row>
    <row r="20" spans="1:11" x14ac:dyDescent="0.2">
      <c r="A20" s="33" t="s">
        <v>38</v>
      </c>
      <c r="B20" s="24">
        <v>33</v>
      </c>
      <c r="C20" s="3">
        <f t="shared" ref="C20:E21" si="2">IF(ISERROR(ROUND(B20/B$22*100,1)),0,(ROUND(B20/B$22*100,1)))</f>
        <v>0.1</v>
      </c>
      <c r="D20" s="24">
        <v>33</v>
      </c>
      <c r="E20" s="3">
        <f t="shared" si="2"/>
        <v>0.1</v>
      </c>
      <c r="F20" s="24">
        <v>60</v>
      </c>
      <c r="G20" s="3">
        <f>IF(ISERROR(ROUND(F20/F$22*100,1)),0,(ROUND(F20/F$22*100,1)))</f>
        <v>0.1</v>
      </c>
      <c r="H20" s="50">
        <v>0</v>
      </c>
      <c r="I20" s="3">
        <f>IF(ISERROR(ROUND(H20/H$22*100,1)),0,(ROUND(H20/H$22*100,1)))</f>
        <v>0</v>
      </c>
      <c r="J20" s="50">
        <v>0</v>
      </c>
      <c r="K20" s="3">
        <f>IF(ISERROR(ROUND(J20/J$22*100,1)),0,(ROUND(J20/J$22*100,1)))</f>
        <v>0</v>
      </c>
    </row>
    <row r="21" spans="1:11" x14ac:dyDescent="0.2">
      <c r="A21" s="52" t="s">
        <v>2</v>
      </c>
      <c r="B21" s="24">
        <v>0</v>
      </c>
      <c r="C21" s="4">
        <f t="shared" si="2"/>
        <v>0</v>
      </c>
      <c r="D21" s="24">
        <v>0</v>
      </c>
      <c r="E21" s="4">
        <f t="shared" si="2"/>
        <v>0</v>
      </c>
      <c r="F21" s="24">
        <v>0</v>
      </c>
      <c r="G21" s="4">
        <f>IF(ISERROR(ROUND(F21/F$22*100,1)),0,(ROUND(F21/F$22*100,1)))</f>
        <v>0</v>
      </c>
      <c r="H21" s="50">
        <v>0</v>
      </c>
      <c r="I21" s="4">
        <f>IF(ISERROR(ROUND(H21/H$22*100,1)),0,(ROUND(H21/H$22*100,1)))</f>
        <v>0</v>
      </c>
      <c r="J21" s="50">
        <v>0</v>
      </c>
      <c r="K21" s="4">
        <f>IF(ISERROR(ROUND(J21/J$22*100,1)),0,(ROUND(J21/J$22*100,1)))</f>
        <v>0</v>
      </c>
    </row>
    <row r="22" spans="1:11" ht="24" customHeight="1" thickBot="1" x14ac:dyDescent="0.25">
      <c r="A22" s="36" t="s">
        <v>47</v>
      </c>
      <c r="B22" s="28">
        <f t="shared" ref="B22:G22" si="3">SUM(B15:B21)</f>
        <v>36605.369999999995</v>
      </c>
      <c r="C22" s="5">
        <f t="shared" si="3"/>
        <v>100.1</v>
      </c>
      <c r="D22" s="28">
        <f t="shared" si="3"/>
        <v>57143.084999999999</v>
      </c>
      <c r="E22" s="5">
        <f t="shared" si="3"/>
        <v>99.999999999999986</v>
      </c>
      <c r="F22" s="28">
        <f t="shared" si="3"/>
        <v>66606.619770000005</v>
      </c>
      <c r="G22" s="5">
        <f t="shared" si="3"/>
        <v>100.1</v>
      </c>
      <c r="H22" s="23">
        <f>SUM(H15:H21)</f>
        <v>0</v>
      </c>
      <c r="I22" s="5">
        <f>SUM(I15:I21)</f>
        <v>0</v>
      </c>
      <c r="J22" s="23">
        <f>SUM(J15:J21)</f>
        <v>0</v>
      </c>
      <c r="K22" s="5">
        <f>SUM(K15:K21)</f>
        <v>0</v>
      </c>
    </row>
    <row r="23" spans="1:11" ht="15.75" thickTop="1" x14ac:dyDescent="0.2">
      <c r="A23" s="33"/>
      <c r="B23" s="54"/>
      <c r="C23" s="55"/>
      <c r="D23" s="54"/>
      <c r="E23" s="55"/>
      <c r="F23" s="54"/>
      <c r="G23" s="55"/>
      <c r="H23" s="50"/>
      <c r="I23" s="55"/>
      <c r="J23" s="50"/>
      <c r="K23" s="55"/>
    </row>
    <row r="24" spans="1:11" x14ac:dyDescent="0.2">
      <c r="A24" s="33"/>
      <c r="B24" s="26"/>
      <c r="C24" s="33"/>
      <c r="D24" s="26"/>
      <c r="E24" s="33"/>
      <c r="F24" s="26"/>
      <c r="G24" s="33"/>
      <c r="H24" s="7"/>
      <c r="I24" s="33"/>
      <c r="J24" s="7"/>
      <c r="K24" s="33"/>
    </row>
    <row r="25" spans="1:11" x14ac:dyDescent="0.2">
      <c r="A25" s="31" t="s">
        <v>3</v>
      </c>
      <c r="B25" s="26"/>
      <c r="C25" s="33"/>
      <c r="D25" s="26"/>
      <c r="E25" s="33"/>
      <c r="F25" s="26"/>
      <c r="G25" s="33"/>
      <c r="H25" s="7"/>
      <c r="I25" s="33"/>
      <c r="J25" s="7"/>
      <c r="K25" s="33"/>
    </row>
    <row r="26" spans="1:11" x14ac:dyDescent="0.2">
      <c r="A26" s="33" t="s">
        <v>4</v>
      </c>
      <c r="B26" s="24">
        <v>21037.656999999999</v>
      </c>
      <c r="C26" s="3">
        <f>IF(ISERROR(ROUND(B26/B$46*100,1)),0,(ROUND(B26/B$46*100,1)))</f>
        <v>57.5</v>
      </c>
      <c r="D26" s="24">
        <v>28451.016</v>
      </c>
      <c r="E26" s="3">
        <f>IF(ISERROR(ROUND(D26/D$46*100,1)),0,(ROUND(D26/D$46*100,1)))</f>
        <v>49.8</v>
      </c>
      <c r="F26" s="24">
        <v>24990.72709</v>
      </c>
      <c r="G26" s="3">
        <f>IF(ISERROR(ROUND(F26/F$46*100,1)),0,(ROUND(F26/F$46*100,1)))</f>
        <v>37.5</v>
      </c>
      <c r="H26" s="50">
        <v>0</v>
      </c>
      <c r="I26" s="3">
        <f>IF(ISERROR(ROUND(H26/H$46*100,1)),0,(ROUND(H26/H$46*100,1)))</f>
        <v>0</v>
      </c>
      <c r="J26" s="50">
        <v>0</v>
      </c>
      <c r="K26" s="3">
        <f>IF(ISERROR(ROUND(J26/J$46*100,1)),0,(ROUND(J26/J$46*100,1)))</f>
        <v>0</v>
      </c>
    </row>
    <row r="27" spans="1:11" x14ac:dyDescent="0.2">
      <c r="A27" s="33" t="s">
        <v>39</v>
      </c>
      <c r="B27" s="24">
        <v>201.44499999999999</v>
      </c>
      <c r="C27" s="3">
        <f t="shared" ref="C27:E30" si="4">IF(ISERROR(ROUND(B27/B$46*100,1)),0,(ROUND(B27/B$46*100,1)))</f>
        <v>0.6</v>
      </c>
      <c r="D27" s="24">
        <v>673.56500000000005</v>
      </c>
      <c r="E27" s="3">
        <f t="shared" si="4"/>
        <v>1.2</v>
      </c>
      <c r="F27" s="24">
        <v>1072.3660400000001</v>
      </c>
      <c r="G27" s="3">
        <f>IF(ISERROR(ROUND(F27/F$46*100,1)),0,(ROUND(F27/F$46*100,1)))</f>
        <v>1.6</v>
      </c>
      <c r="H27" s="50">
        <v>0</v>
      </c>
      <c r="I27" s="3">
        <f>IF(ISERROR(ROUND(H27/H$46*100,1)),0,(ROUND(H27/H$46*100,1)))</f>
        <v>0</v>
      </c>
      <c r="J27" s="50">
        <v>0</v>
      </c>
      <c r="K27" s="3">
        <f>IF(ISERROR(ROUND(J27/J$46*100,1)),0,(ROUND(J27/J$46*100,1)))</f>
        <v>0</v>
      </c>
    </row>
    <row r="28" spans="1:11" x14ac:dyDescent="0.2">
      <c r="A28" s="33" t="s">
        <v>74</v>
      </c>
      <c r="B28" s="24">
        <v>3658.7719999999999</v>
      </c>
      <c r="C28" s="3">
        <f t="shared" si="4"/>
        <v>10</v>
      </c>
      <c r="D28" s="24">
        <v>8420.2749999999996</v>
      </c>
      <c r="E28" s="3">
        <f t="shared" si="4"/>
        <v>14.7</v>
      </c>
      <c r="F28" s="24">
        <v>1027.8316500000001</v>
      </c>
      <c r="G28" s="3">
        <f>IF(ISERROR(ROUND(F28/F$46*100,1)),0,(ROUND(F28/F$46*100,1)))</f>
        <v>1.5</v>
      </c>
      <c r="H28" s="50">
        <v>0</v>
      </c>
      <c r="I28" s="3">
        <f>IF(ISERROR(ROUND(H28/H$46*100,1)),0,(ROUND(H28/H$46*100,1)))</f>
        <v>0</v>
      </c>
      <c r="J28" s="50">
        <v>0</v>
      </c>
      <c r="K28" s="3">
        <f>IF(ISERROR(ROUND(J28/J$46*100,1)),0,(ROUND(J28/J$46*100,1)))</f>
        <v>0</v>
      </c>
    </row>
    <row r="29" spans="1:11" x14ac:dyDescent="0.2">
      <c r="A29" s="33" t="s">
        <v>80</v>
      </c>
      <c r="B29" s="24">
        <v>208.53899999999999</v>
      </c>
      <c r="C29" s="3">
        <f t="shared" si="4"/>
        <v>0.6</v>
      </c>
      <c r="D29" s="24">
        <v>514.34400000000005</v>
      </c>
      <c r="E29" s="3">
        <f t="shared" si="4"/>
        <v>0.9</v>
      </c>
      <c r="F29" s="24">
        <v>1053.13708</v>
      </c>
      <c r="G29" s="3">
        <f>IF(ISERROR(ROUND(F29/F$46*100,1)),0,(ROUND(F29/F$46*100,1)))</f>
        <v>1.6</v>
      </c>
      <c r="H29" s="50">
        <v>0</v>
      </c>
      <c r="I29" s="3">
        <f>IF(ISERROR(ROUND(H29/H$46*100,1)),0,(ROUND(H29/H$46*100,1)))</f>
        <v>0</v>
      </c>
      <c r="J29" s="50">
        <v>0</v>
      </c>
      <c r="K29" s="3">
        <f>IF(ISERROR(ROUND(J29/J$46*100,1)),0,(ROUND(J29/J$46*100,1)))</f>
        <v>0</v>
      </c>
    </row>
    <row r="30" spans="1:11" x14ac:dyDescent="0.2">
      <c r="A30" s="2" t="s">
        <v>15</v>
      </c>
      <c r="B30" s="25">
        <v>1447.4179999999999</v>
      </c>
      <c r="C30" s="4">
        <f t="shared" si="4"/>
        <v>4</v>
      </c>
      <c r="D30" s="25">
        <v>612.51700000000005</v>
      </c>
      <c r="E30" s="4">
        <f t="shared" si="4"/>
        <v>1.1000000000000001</v>
      </c>
      <c r="F30" s="25">
        <v>0</v>
      </c>
      <c r="G30" s="4">
        <f>IF(ISERROR(ROUND(F30/F$46*100,1)),0,(ROUND(F30/F$46*100,1)))</f>
        <v>0</v>
      </c>
      <c r="H30" s="53">
        <v>0</v>
      </c>
      <c r="I30" s="4">
        <f>IF(ISERROR(ROUND(H30/H$46*100,1)),0,(ROUND(H30/H$46*100,1)))</f>
        <v>0</v>
      </c>
      <c r="J30" s="53">
        <v>0</v>
      </c>
      <c r="K30" s="4">
        <f>IF(ISERROR(ROUND(J30/J$46*100,1)),0,(ROUND(J30/J$46*100,1)))</f>
        <v>0</v>
      </c>
    </row>
    <row r="31" spans="1:11" x14ac:dyDescent="0.2">
      <c r="A31" s="33" t="s">
        <v>75</v>
      </c>
      <c r="B31" s="56">
        <f t="shared" ref="B31:G31" si="5">SUM(B26:B30)</f>
        <v>26553.831000000002</v>
      </c>
      <c r="C31" s="13">
        <f t="shared" si="5"/>
        <v>72.699999999999989</v>
      </c>
      <c r="D31" s="56">
        <f t="shared" si="5"/>
        <v>38671.716999999997</v>
      </c>
      <c r="E31" s="13">
        <f t="shared" si="5"/>
        <v>67.7</v>
      </c>
      <c r="F31" s="56">
        <f t="shared" si="5"/>
        <v>28144.061860000002</v>
      </c>
      <c r="G31" s="13">
        <f t="shared" si="5"/>
        <v>42.2</v>
      </c>
      <c r="H31" s="57">
        <f>SUM(H26:H30)</f>
        <v>0</v>
      </c>
      <c r="I31" s="13">
        <f>SUM(I26:I30)</f>
        <v>0</v>
      </c>
      <c r="J31" s="57">
        <f>SUM(J26:J30)</f>
        <v>0</v>
      </c>
      <c r="K31" s="13">
        <f>SUM(K26:K30)</f>
        <v>0</v>
      </c>
    </row>
    <row r="32" spans="1:11" x14ac:dyDescent="0.2">
      <c r="A32" s="33"/>
      <c r="B32" s="56"/>
      <c r="C32" s="13"/>
      <c r="D32" s="56"/>
      <c r="E32" s="13"/>
      <c r="F32" s="56"/>
      <c r="G32" s="13"/>
      <c r="H32" s="57"/>
      <c r="I32" s="13"/>
      <c r="J32" s="57"/>
      <c r="K32" s="13"/>
    </row>
    <row r="33" spans="1:11" x14ac:dyDescent="0.2">
      <c r="A33" s="33" t="s">
        <v>40</v>
      </c>
      <c r="B33" s="24">
        <v>1847.191</v>
      </c>
      <c r="C33" s="3">
        <f>IF(ISERROR(ROUND(B33/B$46*100,1)),0,(ROUND(B33/B$46*100,1)))</f>
        <v>5</v>
      </c>
      <c r="D33" s="24">
        <v>1970.0070000000001</v>
      </c>
      <c r="E33" s="3">
        <f>IF(ISERROR(ROUND(D33/D$46*100,1)),0,(ROUND(D33/D$46*100,1)))</f>
        <v>3.4</v>
      </c>
      <c r="F33" s="24">
        <v>1586.64159</v>
      </c>
      <c r="G33" s="3">
        <f>IF(ISERROR(ROUND(F33/F$46*100,1)),0,(ROUND(F33/F$46*100,1)))</f>
        <v>2.4</v>
      </c>
      <c r="H33" s="50">
        <v>0</v>
      </c>
      <c r="I33" s="3">
        <f>IF(ISERROR(ROUND(H33/H$46*100,1)),0,(ROUND(H33/H$46*100,1)))</f>
        <v>0</v>
      </c>
      <c r="J33" s="50">
        <v>0</v>
      </c>
      <c r="K33" s="3">
        <f>IF(ISERROR(ROUND(J33/J$46*100,1)),0,(ROUND(J33/J$46*100,1)))</f>
        <v>0</v>
      </c>
    </row>
    <row r="34" spans="1:11" x14ac:dyDescent="0.2">
      <c r="A34" s="33" t="s">
        <v>73</v>
      </c>
      <c r="B34" s="24">
        <v>601.00800000000004</v>
      </c>
      <c r="C34" s="3">
        <f>IF(ISERROR(ROUND(B34/B$46*100,1)),0,(ROUND(B34/B$46*100,1)))</f>
        <v>1.6</v>
      </c>
      <c r="D34" s="24">
        <v>6860.98</v>
      </c>
      <c r="E34" s="3">
        <f>IF(ISERROR(ROUND(D34/D$46*100,1)),0,(ROUND(D34/D$46*100,1)))</f>
        <v>12</v>
      </c>
      <c r="F34" s="24">
        <v>25622.501799999998</v>
      </c>
      <c r="G34" s="3">
        <f>IF(ISERROR(ROUND(F34/F$46*100,1)),0,(ROUND(F34/F$46*100,1)))</f>
        <v>38.5</v>
      </c>
      <c r="H34" s="50">
        <v>0</v>
      </c>
      <c r="I34" s="3">
        <f>IF(ISERROR(ROUND(H34/H$46*100,1)),0,(ROUND(H34/H$46*100,1)))</f>
        <v>0</v>
      </c>
      <c r="J34" s="50">
        <v>0</v>
      </c>
      <c r="K34" s="3">
        <f>IF(ISERROR(ROUND(J34/J$46*100,1)),0,(ROUND(J34/J$46*100,1)))</f>
        <v>0</v>
      </c>
    </row>
    <row r="35" spans="1:11" x14ac:dyDescent="0.2">
      <c r="A35" s="33" t="s">
        <v>5</v>
      </c>
      <c r="B35" s="24">
        <v>0</v>
      </c>
      <c r="C35" s="3">
        <f t="shared" ref="C35:E37" si="6">IF(ISERROR(ROUND(B35/B$46*100,1)),0,(ROUND(B35/B$46*100,1)))</f>
        <v>0</v>
      </c>
      <c r="D35" s="24">
        <v>0</v>
      </c>
      <c r="E35" s="3">
        <f t="shared" si="6"/>
        <v>0</v>
      </c>
      <c r="F35" s="24">
        <v>0</v>
      </c>
      <c r="G35" s="3">
        <f>IF(ISERROR(ROUND(F35/F$46*100,1)),0,(ROUND(F35/F$46*100,1)))</f>
        <v>0</v>
      </c>
      <c r="H35" s="50">
        <v>0</v>
      </c>
      <c r="I35" s="3">
        <f>IF(ISERROR(ROUND(H35/H$46*100,1)),0,(ROUND(H35/H$46*100,1)))</f>
        <v>0</v>
      </c>
      <c r="J35" s="50">
        <v>0</v>
      </c>
      <c r="K35" s="3">
        <f>IF(ISERROR(ROUND(J35/J$46*100,1)),0,(ROUND(J35/J$46*100,1)))</f>
        <v>0</v>
      </c>
    </row>
    <row r="36" spans="1:11" x14ac:dyDescent="0.2">
      <c r="A36" s="33" t="s">
        <v>76</v>
      </c>
      <c r="B36" s="24">
        <v>0</v>
      </c>
      <c r="C36" s="3">
        <f t="shared" si="6"/>
        <v>0</v>
      </c>
      <c r="D36" s="24">
        <v>0</v>
      </c>
      <c r="E36" s="3">
        <f t="shared" si="6"/>
        <v>0</v>
      </c>
      <c r="F36" s="24">
        <v>0</v>
      </c>
      <c r="G36" s="3">
        <f>IF(ISERROR(ROUND(F36/F$46*100,1)),0,(ROUND(F36/F$46*100,1)))</f>
        <v>0</v>
      </c>
      <c r="H36" s="50">
        <v>0</v>
      </c>
      <c r="I36" s="3">
        <f>IF(ISERROR(ROUND(H36/H$46*100,1)),0,(ROUND(H36/H$46*100,1)))</f>
        <v>0</v>
      </c>
      <c r="J36" s="50">
        <v>0</v>
      </c>
      <c r="K36" s="3">
        <f>IF(ISERROR(ROUND(J36/J$46*100,1)),0,(ROUND(J36/J$46*100,1)))</f>
        <v>0</v>
      </c>
    </row>
    <row r="37" spans="1:11" x14ac:dyDescent="0.2">
      <c r="A37" s="2" t="s">
        <v>41</v>
      </c>
      <c r="B37" s="25">
        <v>0</v>
      </c>
      <c r="C37" s="4">
        <f t="shared" si="6"/>
        <v>0</v>
      </c>
      <c r="D37" s="25">
        <v>0</v>
      </c>
      <c r="E37" s="4">
        <f t="shared" si="6"/>
        <v>0</v>
      </c>
      <c r="F37" s="25">
        <v>0</v>
      </c>
      <c r="G37" s="4">
        <f>IF(ISERROR(ROUND(F37/F$46*100,1)),0,(ROUND(F37/F$46*100,1)))</f>
        <v>0</v>
      </c>
      <c r="H37" s="53">
        <v>0</v>
      </c>
      <c r="I37" s="4">
        <f>IF(ISERROR(ROUND(H37/H$46*100,1)),0,(ROUND(H37/H$46*100,1)))</f>
        <v>0</v>
      </c>
      <c r="J37" s="53">
        <v>0</v>
      </c>
      <c r="K37" s="4">
        <f>IF(ISERROR(ROUND(J37/J$46*100,1)),0,(ROUND(J37/J$46*100,1)))</f>
        <v>0</v>
      </c>
    </row>
    <row r="38" spans="1:11" x14ac:dyDescent="0.2">
      <c r="A38" s="58" t="s">
        <v>42</v>
      </c>
      <c r="B38" s="56">
        <f t="shared" ref="B38:G38" si="7">SUM(B31:B37)</f>
        <v>29002.030000000002</v>
      </c>
      <c r="C38" s="13">
        <f t="shared" si="7"/>
        <v>79.299999999999983</v>
      </c>
      <c r="D38" s="56">
        <f>SUM(D31:D37)</f>
        <v>47502.703999999998</v>
      </c>
      <c r="E38" s="13">
        <f t="shared" si="7"/>
        <v>83.100000000000009</v>
      </c>
      <c r="F38" s="56">
        <f t="shared" si="7"/>
        <v>55353.205249999999</v>
      </c>
      <c r="G38" s="13">
        <f t="shared" si="7"/>
        <v>83.1</v>
      </c>
      <c r="H38" s="57">
        <f>SUM(H31:H37)</f>
        <v>0</v>
      </c>
      <c r="I38" s="13">
        <f>SUM(I31:I37)</f>
        <v>0</v>
      </c>
      <c r="J38" s="57">
        <f>SUM(J31:J37)</f>
        <v>0</v>
      </c>
      <c r="K38" s="13">
        <f>SUM(K31:K37)</f>
        <v>0</v>
      </c>
    </row>
    <row r="39" spans="1:11" s="6" customFormat="1" x14ac:dyDescent="0.2">
      <c r="A39" s="49"/>
      <c r="B39" s="56"/>
      <c r="C39" s="13"/>
      <c r="D39" s="56"/>
      <c r="E39" s="13"/>
      <c r="F39" s="56"/>
      <c r="G39" s="13"/>
      <c r="H39" s="57"/>
      <c r="I39" s="13"/>
      <c r="J39" s="57"/>
      <c r="K39" s="13"/>
    </row>
    <row r="40" spans="1:11" s="6" customFormat="1" x14ac:dyDescent="0.2">
      <c r="A40" s="58" t="s">
        <v>43</v>
      </c>
      <c r="B40" s="27">
        <v>6080.4880000000003</v>
      </c>
      <c r="C40" s="3">
        <f>IF(ISERROR(ROUND(B40/B$46*100,1)),0,(ROUND(B40/B$46*100,1)))</f>
        <v>16.600000000000001</v>
      </c>
      <c r="D40" s="27">
        <v>6080.4880000000003</v>
      </c>
      <c r="E40" s="3">
        <f>IF(ISERROR(ROUND(D40/D$46*100,1)),0,(ROUND(D40/D$46*100,1)))</f>
        <v>10.6</v>
      </c>
      <c r="F40" s="27">
        <v>6080.4886299999998</v>
      </c>
      <c r="G40" s="3">
        <f>IF(ISERROR(ROUND(F40/F$46*100,1)),0,(ROUND(F40/F$46*100,1)))</f>
        <v>9.1</v>
      </c>
      <c r="H40" s="51">
        <v>0</v>
      </c>
      <c r="I40" s="3">
        <f>IF(ISERROR(ROUND(H40/H$46*100,1)),0,(ROUND(H40/H$46*100,1)))</f>
        <v>0</v>
      </c>
      <c r="J40" s="51">
        <v>0</v>
      </c>
      <c r="K40" s="3">
        <f>IF(ISERROR(ROUND(J40/J$46*100,1)),0,(ROUND(J40/J$46*100,1)))</f>
        <v>0</v>
      </c>
    </row>
    <row r="41" spans="1:11" s="6" customFormat="1" x14ac:dyDescent="0.2">
      <c r="A41" s="58" t="s">
        <v>46</v>
      </c>
      <c r="B41" s="27">
        <v>0</v>
      </c>
      <c r="C41" s="3">
        <f>IF(ISERROR(ROUND(B41/B$46*100,1)),0,(ROUND(B41/B$46*100,1)))</f>
        <v>0</v>
      </c>
      <c r="D41" s="27">
        <v>0</v>
      </c>
      <c r="E41" s="3">
        <f>IF(ISERROR(ROUND(D41/D$46*100,1)),0,(ROUND(D41/D$46*100,1)))</f>
        <v>0</v>
      </c>
      <c r="F41" s="27">
        <v>0</v>
      </c>
      <c r="G41" s="3">
        <f>IF(ISERROR(ROUND(F41/F$46*100,1)),0,(ROUND(F41/F$46*100,1)))</f>
        <v>0</v>
      </c>
      <c r="H41" s="51">
        <v>0</v>
      </c>
      <c r="I41" s="3">
        <f>IF(ISERROR(ROUND(H41/H$46*100,1)),0,(ROUND(H41/H$46*100,1)))</f>
        <v>0</v>
      </c>
      <c r="J41" s="51">
        <v>0</v>
      </c>
      <c r="K41" s="3">
        <f>IF(ISERROR(ROUND(J41/J$46*100,1)),0,(ROUND(J41/J$46*100,1)))</f>
        <v>0</v>
      </c>
    </row>
    <row r="42" spans="1:11" x14ac:dyDescent="0.2">
      <c r="A42" s="33" t="s">
        <v>6</v>
      </c>
      <c r="B42" s="24">
        <v>1522.8520000000001</v>
      </c>
      <c r="C42" s="3">
        <f>IF(ISERROR(ROUND(B42/B$46*100,1)),0,(ROUND(B42/B$46*100,1)))</f>
        <v>4.2</v>
      </c>
      <c r="D42" s="24">
        <v>3559.893</v>
      </c>
      <c r="E42" s="3">
        <f>IF(ISERROR(ROUND(D42/D$46*100,1)),0,(ROUND(D42/D$46*100,1)))</f>
        <v>6.2</v>
      </c>
      <c r="F42" s="24">
        <v>5172.9258900000004</v>
      </c>
      <c r="G42" s="3">
        <f>IF(ISERROR(ROUND(F42/F$46*100,1)),0,(ROUND(F42/F$46*100,1)))</f>
        <v>7.8</v>
      </c>
      <c r="H42" s="50">
        <v>0</v>
      </c>
      <c r="I42" s="3">
        <f>IF(ISERROR(ROUND(H42/H$46*100,1)),0,(ROUND(H42/H$46*100,1)))</f>
        <v>0</v>
      </c>
      <c r="J42" s="50">
        <v>0</v>
      </c>
      <c r="K42" s="3">
        <f>IF(ISERROR(ROUND(J42/J$46*100,1)),0,(ROUND(J42/J$46*100,1)))</f>
        <v>0</v>
      </c>
    </row>
    <row r="43" spans="1:11" x14ac:dyDescent="0.2">
      <c r="A43" s="33" t="s">
        <v>77</v>
      </c>
      <c r="B43" s="24">
        <v>0</v>
      </c>
      <c r="C43" s="3">
        <f t="shared" ref="C43:E44" si="8">IF(ISERROR(ROUND(B43/B$46*100,1)),0,(ROUND(B43/B$46*100,1)))</f>
        <v>0</v>
      </c>
      <c r="D43" s="24">
        <v>0</v>
      </c>
      <c r="E43" s="3">
        <f t="shared" si="8"/>
        <v>0</v>
      </c>
      <c r="F43" s="24">
        <v>0</v>
      </c>
      <c r="G43" s="3">
        <f>IF(ISERROR(ROUND(F43/F$46*100,1)),0,(ROUND(F43/F$46*100,1)))</f>
        <v>0</v>
      </c>
      <c r="H43" s="50">
        <v>0</v>
      </c>
      <c r="I43" s="3">
        <f>IF(ISERROR(ROUND(H43/H$46*100,1)),0,(ROUND(H43/H$46*100,1)))</f>
        <v>0</v>
      </c>
      <c r="J43" s="50">
        <v>0</v>
      </c>
      <c r="K43" s="3">
        <f>IF(ISERROR(ROUND(J43/J$46*100,1)),0,(ROUND(J43/J$46*100,1)))</f>
        <v>0</v>
      </c>
    </row>
    <row r="44" spans="1:11" s="6" customFormat="1" x14ac:dyDescent="0.2">
      <c r="A44" s="58" t="s">
        <v>44</v>
      </c>
      <c r="B44" s="25">
        <v>0</v>
      </c>
      <c r="C44" s="4">
        <f t="shared" si="8"/>
        <v>0</v>
      </c>
      <c r="D44" s="25">
        <v>0</v>
      </c>
      <c r="E44" s="4">
        <f t="shared" si="8"/>
        <v>0</v>
      </c>
      <c r="F44" s="25">
        <v>0</v>
      </c>
      <c r="G44" s="4">
        <f>IF(ISERROR(ROUND(F44/F$46*100,1)),0,(ROUND(F44/F$46*100,1)))</f>
        <v>0</v>
      </c>
      <c r="H44" s="53">
        <v>0</v>
      </c>
      <c r="I44" s="4">
        <f>IF(ISERROR(ROUND(H44/H$46*100,1)),0,(ROUND(H44/H$46*100,1)))</f>
        <v>0</v>
      </c>
      <c r="J44" s="53">
        <v>0</v>
      </c>
      <c r="K44" s="4">
        <f>IF(ISERROR(ROUND(J44/J$46*100,1)),0,(ROUND(J44/J$46*100,1)))</f>
        <v>0</v>
      </c>
    </row>
    <row r="45" spans="1:11" s="6" customFormat="1" x14ac:dyDescent="0.2">
      <c r="A45" s="38" t="s">
        <v>45</v>
      </c>
      <c r="B45" s="26">
        <f t="shared" ref="B45:G45" si="9">SUM(B40:B44)</f>
        <v>7603.34</v>
      </c>
      <c r="C45" s="3">
        <f t="shared" si="9"/>
        <v>20.8</v>
      </c>
      <c r="D45" s="26">
        <f t="shared" si="9"/>
        <v>9640.3810000000012</v>
      </c>
      <c r="E45" s="3">
        <f t="shared" si="9"/>
        <v>16.8</v>
      </c>
      <c r="F45" s="26">
        <f t="shared" si="9"/>
        <v>11253.41452</v>
      </c>
      <c r="G45" s="3">
        <f t="shared" si="9"/>
        <v>16.899999999999999</v>
      </c>
      <c r="H45" s="7">
        <f>SUM(H40:H44)</f>
        <v>0</v>
      </c>
      <c r="I45" s="3">
        <f>SUM(I40:I44)</f>
        <v>0</v>
      </c>
      <c r="J45" s="7">
        <f>SUM(J40:J44)</f>
        <v>0</v>
      </c>
      <c r="K45" s="3">
        <f>SUM(K40:K44)</f>
        <v>0</v>
      </c>
    </row>
    <row r="46" spans="1:11" ht="25.15" customHeight="1" thickBot="1" x14ac:dyDescent="0.25">
      <c r="A46" s="38" t="s">
        <v>48</v>
      </c>
      <c r="B46" s="28">
        <f t="shared" ref="B46:G46" si="10">SUM(B38:B44)</f>
        <v>36605.370000000003</v>
      </c>
      <c r="C46" s="5">
        <f t="shared" si="10"/>
        <v>100.09999999999998</v>
      </c>
      <c r="D46" s="28">
        <f t="shared" si="10"/>
        <v>57143.084999999992</v>
      </c>
      <c r="E46" s="5">
        <f t="shared" si="10"/>
        <v>99.9</v>
      </c>
      <c r="F46" s="28">
        <f t="shared" si="10"/>
        <v>66606.619770000005</v>
      </c>
      <c r="G46" s="5">
        <f t="shared" si="10"/>
        <v>99.999999999999986</v>
      </c>
      <c r="H46" s="23">
        <f>SUM(H38:H44)</f>
        <v>0</v>
      </c>
      <c r="I46" s="5">
        <f>SUM(I38:I44)</f>
        <v>0</v>
      </c>
      <c r="J46" s="23">
        <f>SUM(J38:J44)</f>
        <v>0</v>
      </c>
      <c r="K46" s="5">
        <f>SUM(K38:K44)</f>
        <v>0</v>
      </c>
    </row>
    <row r="47" spans="1:11" ht="15.75" thickTop="1" x14ac:dyDescent="0.2">
      <c r="A47" s="33"/>
      <c r="B47" s="59"/>
      <c r="C47" s="55"/>
      <c r="D47" s="59"/>
      <c r="E47" s="55"/>
      <c r="F47" s="59"/>
      <c r="G47" s="55"/>
      <c r="H47" s="59"/>
      <c r="I47" s="55"/>
      <c r="J47" s="59"/>
      <c r="K47" s="55"/>
    </row>
    <row r="48" spans="1:11" x14ac:dyDescent="0.2">
      <c r="A48" s="33"/>
      <c r="B48" s="33"/>
      <c r="C48" s="33"/>
      <c r="D48" s="33"/>
      <c r="E48" s="33"/>
      <c r="F48" s="33"/>
      <c r="G48" s="33"/>
      <c r="H48" s="33"/>
      <c r="I48" s="33"/>
      <c r="J48" s="33"/>
      <c r="K48" s="33"/>
    </row>
    <row r="49" spans="1:11" x14ac:dyDescent="0.2">
      <c r="A49" s="33" t="s">
        <v>83</v>
      </c>
      <c r="B49" s="56">
        <f>B15-(B31+B33)</f>
        <v>-905.43000000000393</v>
      </c>
      <c r="C49" s="13">
        <f>IF(ISERROR(ROUND(B49/B$46*100,1)),0,(ROUND(B49/B$46*100,1)))</f>
        <v>-2.5</v>
      </c>
      <c r="D49" s="56">
        <f>D15-(D31+D33)</f>
        <v>-2126.1759999999922</v>
      </c>
      <c r="E49" s="13">
        <f>IF(ISERROR(ROUND(D49/D$46*100,1)),0,(ROUND(D49/D$46*100,1)))</f>
        <v>-3.7</v>
      </c>
      <c r="F49" s="56">
        <f>F15-(F31+F33)</f>
        <v>2961.8822600000058</v>
      </c>
      <c r="G49" s="13">
        <f>IF(ISERROR(ROUND(F49/F$46*100,1)),0,(ROUND(F49/F$46*100,1)))</f>
        <v>4.4000000000000004</v>
      </c>
      <c r="H49" s="7">
        <f>H15-H31</f>
        <v>0</v>
      </c>
      <c r="I49" s="3">
        <f>IF(ISERROR(ROUND(H49/H$46*100,1)),0,(ROUND(H49/H$46*100,1)))</f>
        <v>0</v>
      </c>
      <c r="J49" s="7">
        <f>J15-J31</f>
        <v>0</v>
      </c>
      <c r="K49" s="3">
        <f>IF(ISERROR(ROUND(J49/J$46*100,1)),0,(ROUND(J49/J$46*100,1)))</f>
        <v>0</v>
      </c>
    </row>
    <row r="50" spans="1:11" x14ac:dyDescent="0.2">
      <c r="A50" s="33" t="s">
        <v>6</v>
      </c>
      <c r="B50" s="56">
        <f t="shared" ref="B50:G50" si="11">B42</f>
        <v>1522.8520000000001</v>
      </c>
      <c r="C50" s="13">
        <f t="shared" si="11"/>
        <v>4.2</v>
      </c>
      <c r="D50" s="56">
        <f t="shared" si="11"/>
        <v>3559.893</v>
      </c>
      <c r="E50" s="13">
        <f t="shared" si="11"/>
        <v>6.2</v>
      </c>
      <c r="F50" s="56">
        <f t="shared" si="11"/>
        <v>5172.9258900000004</v>
      </c>
      <c r="G50" s="13">
        <f t="shared" si="11"/>
        <v>7.8</v>
      </c>
      <c r="H50" s="7">
        <f>H42</f>
        <v>0</v>
      </c>
      <c r="I50" s="3">
        <f>I42</f>
        <v>0</v>
      </c>
      <c r="J50" s="7">
        <f>J42</f>
        <v>0</v>
      </c>
      <c r="K50" s="3">
        <f>K42</f>
        <v>0</v>
      </c>
    </row>
    <row r="51" spans="1:11" x14ac:dyDescent="0.2">
      <c r="A51" s="33"/>
      <c r="B51" s="33"/>
      <c r="C51" s="33"/>
      <c r="D51" s="33"/>
      <c r="E51" s="33"/>
      <c r="F51" s="33"/>
      <c r="G51" s="33"/>
      <c r="H51" s="33"/>
      <c r="I51" s="33"/>
      <c r="J51" s="33"/>
      <c r="K51" s="33"/>
    </row>
    <row r="52" spans="1:11" x14ac:dyDescent="0.2">
      <c r="A52" s="33" t="s">
        <v>7</v>
      </c>
      <c r="B52" s="9">
        <f>IF(ISERROR(B15/B31),0,B15/B31)</f>
        <v>1.0354661065666944</v>
      </c>
      <c r="C52" s="9"/>
      <c r="D52" s="9">
        <f>IF(ISERROR(D15/D31),0,D15/D31)</f>
        <v>0.99596167400583757</v>
      </c>
      <c r="E52" s="9"/>
      <c r="F52" s="9">
        <f>IF(ISERROR(F15/F31),0,F15/F31)</f>
        <v>1.1616157565537701</v>
      </c>
      <c r="G52" s="33"/>
      <c r="H52" s="9">
        <f>IF(ISERROR(H15/H31),0,H15/H31)</f>
        <v>0</v>
      </c>
      <c r="I52" s="9"/>
      <c r="J52" s="9">
        <f>IF(ISERROR(J15/J31),0,J15/J31)</f>
        <v>0</v>
      </c>
      <c r="K52" s="33"/>
    </row>
    <row r="53" spans="1:11" x14ac:dyDescent="0.2">
      <c r="A53" s="33" t="s">
        <v>8</v>
      </c>
      <c r="B53" s="9">
        <f>IF(ISERROR(SUM(B10:B11)/B31),0,(SUM(B10:B11)/B31))</f>
        <v>0.67691998943579923</v>
      </c>
      <c r="C53" s="9"/>
      <c r="D53" s="9">
        <f>IF(ISERROR(SUM(D10:D11)/D31),0,(SUM(D10:D11)/D31))</f>
        <v>0.68964525159304424</v>
      </c>
      <c r="E53" s="9"/>
      <c r="F53" s="9">
        <f>IF(ISERROR(SUM(F10:F11)/F31),0,(SUM(F10:F11)/F31))</f>
        <v>0.74557285811764484</v>
      </c>
      <c r="G53" s="33"/>
      <c r="H53" s="9">
        <f>IF(ISERROR(SUM(H10:H11)/H31),0,(SUM(H10:H11)/H31))</f>
        <v>0</v>
      </c>
      <c r="I53" s="9"/>
      <c r="J53" s="9">
        <f>IF(ISERROR(SUM(J10:J11)/J31),0,(SUM(J10:J11)/J31))</f>
        <v>0</v>
      </c>
      <c r="K53" s="33"/>
    </row>
    <row r="54" spans="1:11" x14ac:dyDescent="0.2">
      <c r="A54" s="38" t="s">
        <v>56</v>
      </c>
      <c r="B54" s="9">
        <f>IF(B45&lt;0,NA(),IF(ISERROR(B38/B45),0,B38/B45))</f>
        <v>3.8143802592018772</v>
      </c>
      <c r="C54" s="9"/>
      <c r="D54" s="9">
        <f>IF(D45&lt;0,NA(),IF(ISERROR(D38/D45),0,D38/D45))</f>
        <v>4.9274716424589435</v>
      </c>
      <c r="E54" s="9"/>
      <c r="F54" s="9">
        <f>IF(F45&lt;0,NA(),IF(ISERROR(F38/F45),0,F38/F45))</f>
        <v>4.9187919943430645</v>
      </c>
      <c r="G54" s="33"/>
      <c r="H54" s="9">
        <f>IF(H45&lt;0,NA(),IF(ISERROR(H38/H45),0,H38/H45))</f>
        <v>0</v>
      </c>
      <c r="I54" s="9"/>
      <c r="J54" s="9">
        <f>IF(J45&lt;0,NA(),IF(ISERROR(J38/J45),0,J38/J45))</f>
        <v>0</v>
      </c>
      <c r="K54" s="33"/>
    </row>
    <row r="55" spans="1:11" x14ac:dyDescent="0.2">
      <c r="A55" s="52"/>
      <c r="B55" s="33"/>
      <c r="C55" s="33"/>
      <c r="D55" s="33"/>
      <c r="E55" s="33"/>
      <c r="F55" s="33"/>
      <c r="G55" s="33"/>
      <c r="H55" s="33"/>
      <c r="I55" s="33"/>
      <c r="J55" s="33"/>
      <c r="K55" s="33"/>
    </row>
    <row r="56" spans="1:11" x14ac:dyDescent="0.2">
      <c r="A56" s="33"/>
      <c r="B56" s="33"/>
      <c r="C56" s="33"/>
      <c r="D56" s="33"/>
      <c r="E56" s="33"/>
      <c r="F56" s="33"/>
      <c r="G56" s="33"/>
      <c r="H56" s="33"/>
      <c r="I56" s="33"/>
      <c r="J56" s="33"/>
      <c r="K56" s="33"/>
    </row>
    <row r="57" spans="1:11" x14ac:dyDescent="0.2">
      <c r="A57" s="33" t="s">
        <v>84</v>
      </c>
      <c r="B57" s="33"/>
      <c r="C57" s="33"/>
      <c r="D57" s="33"/>
      <c r="E57" s="33"/>
      <c r="F57" s="33"/>
      <c r="G57" s="33"/>
      <c r="H57" s="33"/>
      <c r="I57" s="33"/>
      <c r="J57" s="33"/>
      <c r="K57" s="33"/>
    </row>
    <row r="58" spans="1:11" x14ac:dyDescent="0.2">
      <c r="A58" s="33"/>
      <c r="B58" s="33"/>
      <c r="C58" s="33"/>
      <c r="D58" s="33"/>
      <c r="E58" s="33"/>
      <c r="F58" s="33"/>
      <c r="G58" s="33"/>
      <c r="H58" s="33"/>
      <c r="I58" s="33"/>
      <c r="J58" s="33"/>
      <c r="K58" s="33"/>
    </row>
    <row r="59" spans="1:11" x14ac:dyDescent="0.2">
      <c r="A59" s="60"/>
      <c r="B59" s="33"/>
      <c r="C59" s="33"/>
      <c r="D59" s="33"/>
      <c r="E59" s="33"/>
      <c r="F59" s="33"/>
      <c r="G59" s="33"/>
      <c r="H59" s="33"/>
      <c r="I59" s="33"/>
      <c r="J59" s="33"/>
      <c r="K59" s="33"/>
    </row>
    <row r="60" spans="1:11" x14ac:dyDescent="0.2">
      <c r="A60" s="61"/>
      <c r="B60" s="33"/>
      <c r="C60" s="33"/>
      <c r="D60" s="33"/>
      <c r="E60" s="33"/>
      <c r="F60" s="33"/>
      <c r="G60" s="33"/>
      <c r="H60" s="33"/>
      <c r="I60" s="33"/>
      <c r="J60" s="33"/>
      <c r="K60" s="33"/>
    </row>
    <row r="61" spans="1:11" x14ac:dyDescent="0.2">
      <c r="A61" s="33"/>
      <c r="B61" s="33"/>
      <c r="C61" s="33"/>
      <c r="D61" s="33"/>
      <c r="E61" s="33"/>
      <c r="F61" s="33"/>
      <c r="G61" s="33"/>
      <c r="H61" s="33"/>
      <c r="I61" s="33"/>
      <c r="J61" s="33"/>
      <c r="K61" s="33"/>
    </row>
    <row r="62" spans="1:11" x14ac:dyDescent="0.2">
      <c r="A62" s="33"/>
      <c r="B62" s="33"/>
      <c r="C62" s="33"/>
      <c r="D62" s="33"/>
      <c r="E62" s="33"/>
      <c r="F62" s="33"/>
      <c r="G62" s="33"/>
      <c r="H62" s="33"/>
      <c r="I62" s="33"/>
      <c r="J62" s="33"/>
      <c r="K62" s="33"/>
    </row>
    <row r="63" spans="1:11" x14ac:dyDescent="0.2">
      <c r="A63" s="33"/>
      <c r="B63" s="33"/>
      <c r="C63" s="33"/>
      <c r="D63" s="33"/>
      <c r="E63" s="33"/>
      <c r="F63" s="33"/>
      <c r="G63" s="33"/>
      <c r="H63" s="33"/>
      <c r="I63" s="33"/>
      <c r="J63" s="33"/>
      <c r="K63" s="33"/>
    </row>
    <row r="64" spans="1:11" x14ac:dyDescent="0.2">
      <c r="A64" s="33"/>
      <c r="B64" s="33"/>
      <c r="C64" s="33"/>
      <c r="D64" s="33"/>
      <c r="E64" s="33"/>
      <c r="F64" s="33"/>
      <c r="G64" s="33"/>
      <c r="H64" s="33"/>
      <c r="I64" s="33"/>
      <c r="J64" s="33"/>
      <c r="K64" s="33"/>
    </row>
  </sheetData>
  <sheetProtection password="EFE6" sheet="1" objects="1" scenarios="1"/>
  <mergeCells count="10">
    <mergeCell ref="H8:I8"/>
    <mergeCell ref="J8:K8"/>
    <mergeCell ref="A1:K1"/>
    <mergeCell ref="A2:K2"/>
    <mergeCell ref="A3:K3"/>
    <mergeCell ref="A4:K4"/>
    <mergeCell ref="A5:K5"/>
    <mergeCell ref="B8:C8"/>
    <mergeCell ref="D8:E8"/>
    <mergeCell ref="F8:G8"/>
  </mergeCells>
  <phoneticPr fontId="0" type="noConversion"/>
  <printOptions horizontalCentered="1"/>
  <pageMargins left="0.5" right="0.5" top="0.5" bottom="0.5" header="0.5" footer="0.5"/>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5"/>
  <sheetViews>
    <sheetView zoomScale="75" zoomScaleNormal="75" workbookViewId="0">
      <pane xSplit="1" ySplit="7" topLeftCell="B8" activePane="bottomRight" state="frozen"/>
      <selection activeCell="A2" sqref="A2:E2"/>
      <selection pane="topRight" activeCell="A2" sqref="A2:E2"/>
      <selection pane="bottomLeft" activeCell="A2" sqref="A2:E2"/>
      <selection pane="bottomRight" activeCell="E7" sqref="E7"/>
    </sheetView>
  </sheetViews>
  <sheetFormatPr defaultRowHeight="15" x14ac:dyDescent="0.2"/>
  <cols>
    <col min="1" max="1" width="55.25" style="1" customWidth="1"/>
    <col min="2" max="2" width="13.875" style="1" customWidth="1"/>
    <col min="3" max="5" width="12.5" style="1" customWidth="1"/>
    <col min="6" max="7" width="12.125" style="1" hidden="1" customWidth="1"/>
    <col min="8" max="16384" width="9" style="1"/>
  </cols>
  <sheetData>
    <row r="1" spans="1:7" ht="21" customHeight="1" x14ac:dyDescent="0.25">
      <c r="A1" s="70" t="s">
        <v>62</v>
      </c>
      <c r="B1" s="70"/>
      <c r="C1" s="70"/>
      <c r="D1" s="70"/>
      <c r="E1" s="70"/>
      <c r="F1" s="31"/>
      <c r="G1" s="31"/>
    </row>
    <row r="2" spans="1:7" x14ac:dyDescent="0.2">
      <c r="A2" s="73" t="str">
        <f>'Income Statement'!$A$3</f>
        <v xml:space="preserve">For Financial Years Ended </v>
      </c>
      <c r="B2" s="73"/>
      <c r="C2" s="73"/>
      <c r="D2" s="73"/>
      <c r="E2" s="73"/>
      <c r="F2" s="31"/>
      <c r="G2" s="31"/>
    </row>
    <row r="3" spans="1:7" x14ac:dyDescent="0.2">
      <c r="A3" s="73" t="str">
        <f>'Income Statement'!A4:G4</f>
        <v>Dec 31</v>
      </c>
      <c r="B3" s="73"/>
      <c r="C3" s="73"/>
      <c r="D3" s="73"/>
      <c r="E3" s="73"/>
      <c r="F3" s="31"/>
      <c r="G3" s="31"/>
    </row>
    <row r="4" spans="1:7" x14ac:dyDescent="0.2">
      <c r="A4" s="73"/>
      <c r="B4" s="73"/>
      <c r="C4" s="73"/>
      <c r="D4" s="73"/>
      <c r="E4" s="73"/>
      <c r="F4" s="32"/>
      <c r="G4" s="32"/>
    </row>
    <row r="5" spans="1:7" x14ac:dyDescent="0.2">
      <c r="A5" s="33"/>
      <c r="B5" s="33"/>
      <c r="C5" s="33"/>
      <c r="D5" s="33"/>
      <c r="E5" s="33"/>
      <c r="F5" s="33"/>
      <c r="G5" s="33"/>
    </row>
    <row r="6" spans="1:7" x14ac:dyDescent="0.2">
      <c r="A6" s="33"/>
      <c r="B6" s="33"/>
      <c r="C6" s="33"/>
      <c r="D6" s="33"/>
      <c r="E6" s="33"/>
      <c r="F6" s="33"/>
      <c r="G6" s="33"/>
    </row>
    <row r="7" spans="1:7" ht="22.5" customHeight="1" x14ac:dyDescent="0.25">
      <c r="A7" s="34" t="s">
        <v>58</v>
      </c>
      <c r="B7" s="35" t="s">
        <v>57</v>
      </c>
      <c r="C7" s="10">
        <f>'Income Statement'!B8</f>
        <v>2016</v>
      </c>
      <c r="D7" s="10">
        <f>'Income Statement'!D8</f>
        <v>2017</v>
      </c>
      <c r="E7" s="10">
        <f>'Income Statement'!F8</f>
        <v>2018</v>
      </c>
      <c r="F7" s="10" t="e">
        <f>#REF!</f>
        <v>#REF!</v>
      </c>
      <c r="G7" s="10" t="e">
        <f>#REF!</f>
        <v>#REF!</v>
      </c>
    </row>
    <row r="8" spans="1:7" x14ac:dyDescent="0.2">
      <c r="A8" s="33"/>
      <c r="B8" s="33"/>
      <c r="C8" s="9"/>
      <c r="D8" s="33"/>
      <c r="E8" s="33"/>
      <c r="F8" s="33"/>
      <c r="G8" s="33"/>
    </row>
    <row r="9" spans="1:7" x14ac:dyDescent="0.2">
      <c r="A9" s="36" t="s">
        <v>81</v>
      </c>
      <c r="B9" s="37">
        <v>6.56</v>
      </c>
      <c r="C9" s="29">
        <f>IF(ISERROR(('Balance Sheet'!B49/'Balance Sheet'!B22)*B9),"",('Balance Sheet'!B49/'Balance Sheet'!B22)*B9)</f>
        <v>-0.16226091417734681</v>
      </c>
      <c r="D9" s="29">
        <f>IF(ISERROR(('Balance Sheet'!D49/'Balance Sheet'!D22)*B9),"",('Balance Sheet'!D49/'Balance Sheet'!D22)*B9)</f>
        <v>-0.24408403151492344</v>
      </c>
      <c r="E9" s="29">
        <f>IF(ISERROR(('Balance Sheet'!F49/'Balance Sheet'!F22)*B9),"",('Balance Sheet'!F49/'Balance Sheet'!F22)*B9)</f>
        <v>0.29171196035309682</v>
      </c>
      <c r="F9" s="9" t="str">
        <f>IF(ISERROR(('Balance Sheet'!H49/'Balance Sheet'!H22)*B9),"",('Balance Sheet'!H49/'Balance Sheet'!H22)*B9)</f>
        <v/>
      </c>
      <c r="G9" s="9" t="str">
        <f>IF(ISERROR(('Balance Sheet'!J49/'Balance Sheet'!J22)*B9),"",('Balance Sheet'!J49/'Balance Sheet'!J22)*B9)</f>
        <v/>
      </c>
    </row>
    <row r="10" spans="1:7" x14ac:dyDescent="0.2">
      <c r="A10" s="33"/>
      <c r="B10" s="33"/>
      <c r="C10" s="29"/>
      <c r="D10" s="29"/>
      <c r="E10" s="29"/>
      <c r="F10" s="9"/>
      <c r="G10" s="9"/>
    </row>
    <row r="11" spans="1:7" x14ac:dyDescent="0.2">
      <c r="A11" s="36" t="s">
        <v>59</v>
      </c>
      <c r="B11" s="37">
        <v>3.26</v>
      </c>
      <c r="C11" s="29">
        <f>IF(ISERROR(('Balance Sheet'!B42/'Balance Sheet'!B22)*B11),"",('Balance Sheet'!B42/'Balance Sheet'!B22)*B11)</f>
        <v>0.13562211008931205</v>
      </c>
      <c r="D11" s="29">
        <f>IF(ISERROR(('Balance Sheet'!D42/'Balance Sheet'!D22)*B11),"",('Balance Sheet'!D42/'Balance Sheet'!D22)*B11)</f>
        <v>0.20309108582429525</v>
      </c>
      <c r="E11" s="29">
        <f>IF(ISERROR(('Balance Sheet'!F42/'Balance Sheet'!F22)*B11),"",('Balance Sheet'!F42/'Balance Sheet'!F22)*B11)</f>
        <v>0.25318411983121719</v>
      </c>
      <c r="F11" s="9" t="str">
        <f>IF(ISERROR(('Balance Sheet'!H42/'Balance Sheet'!H22)*B11),"",('Balance Sheet'!H42/'Balance Sheet'!H22)*B11)</f>
        <v/>
      </c>
      <c r="G11" s="9" t="str">
        <f>IF(ISERROR(('Balance Sheet'!J42/'Balance Sheet'!J22)*B11),"",('Balance Sheet'!J42/'Balance Sheet'!J22)*B11)</f>
        <v/>
      </c>
    </row>
    <row r="12" spans="1:7" x14ac:dyDescent="0.2">
      <c r="A12" s="33"/>
      <c r="B12" s="33"/>
      <c r="C12" s="29"/>
      <c r="D12" s="29"/>
      <c r="E12" s="29"/>
      <c r="F12" s="9"/>
      <c r="G12" s="9"/>
    </row>
    <row r="13" spans="1:7" x14ac:dyDescent="0.2">
      <c r="A13" s="36" t="s">
        <v>60</v>
      </c>
      <c r="B13" s="37">
        <v>6.72</v>
      </c>
      <c r="C13" s="29">
        <f>IF(ISERROR((('Income Statement'!B23-'Income Statement'!B20)/'Balance Sheet'!B22)*B13),"",(('Income Statement'!B23-'Income Statement'!B20)/'Balance Sheet'!B22)*B13)</f>
        <v>0.63259188037164982</v>
      </c>
      <c r="D13" s="29">
        <f>IF(ISERROR((('Income Statement'!D23-'Income Statement'!D20)/'Balance Sheet'!D22)*B13),"",(('Income Statement'!D23-'Income Statement'!D20)/'Balance Sheet'!D22)*B13)</f>
        <v>0.52298260055088086</v>
      </c>
      <c r="E13" s="29">
        <f>IF(ISERROR((('Income Statement'!F23-'Income Statement'!F20)/'Balance Sheet'!F22)*B13),"",(('Income Statement'!F23-'Income Statement'!F20)/'Balance Sheet'!F22)*B13)</f>
        <v>0.52740995409321523</v>
      </c>
      <c r="F13" s="9" t="str">
        <f>IF(ISERROR((('Income Statement'!H23-'Income Statement'!H20)/'Balance Sheet'!H22)*B13),"",(('Income Statement'!H23-'Income Statement'!H20)/'Balance Sheet'!H22)*B13)</f>
        <v/>
      </c>
      <c r="G13" s="9" t="str">
        <f>IF(ISERROR((('Income Statement'!J23-'Income Statement'!J20)/'Balance Sheet'!J22)*B13),"",(('Income Statement'!J23-'Income Statement'!J20)/'Balance Sheet'!J22)*B13)</f>
        <v/>
      </c>
    </row>
    <row r="14" spans="1:7" x14ac:dyDescent="0.2">
      <c r="A14" s="33"/>
      <c r="B14" s="33"/>
      <c r="C14" s="29"/>
      <c r="D14" s="29"/>
      <c r="E14" s="29"/>
      <c r="F14" s="9"/>
      <c r="G14" s="9"/>
    </row>
    <row r="15" spans="1:7" x14ac:dyDescent="0.2">
      <c r="A15" s="36" t="s">
        <v>61</v>
      </c>
      <c r="B15" s="37">
        <v>1.05</v>
      </c>
      <c r="C15" s="29">
        <f>IF(ISERROR(('Balance Sheet'!B45/'Balance Sheet'!B38)*B15),"",('Balance Sheet'!B45/'Balance Sheet'!B38)*B15)</f>
        <v>0.27527407564229123</v>
      </c>
      <c r="D15" s="29">
        <f>IF(ISERROR(('Balance Sheet'!D45/'Balance Sheet'!D38)*B15),"",('Balance Sheet'!D45/'Balance Sheet'!D38)*B15)</f>
        <v>0.21309102846019043</v>
      </c>
      <c r="E15" s="29">
        <f>IF(ISERROR(('Balance Sheet'!F45/'Balance Sheet'!F38)*B15),"",('Balance Sheet'!F45/'Balance Sheet'!F38)*B15)</f>
        <v>0.21346704662599464</v>
      </c>
      <c r="F15" s="9" t="str">
        <f>IF(ISERROR(('Balance Sheet'!H45/'Balance Sheet'!H38)*B15),"",('Balance Sheet'!H45/'Balance Sheet'!H38)*B15)</f>
        <v/>
      </c>
      <c r="G15" s="9" t="str">
        <f>IF(ISERROR(('Balance Sheet'!J45/'Balance Sheet'!J38)*B15),"",('Balance Sheet'!J45/'Balance Sheet'!J38)*B15)</f>
        <v/>
      </c>
    </row>
    <row r="16" spans="1:7" x14ac:dyDescent="0.2">
      <c r="A16" s="38"/>
      <c r="B16" s="38"/>
      <c r="C16" s="29"/>
      <c r="D16" s="29"/>
      <c r="E16" s="29"/>
      <c r="F16" s="33"/>
      <c r="G16" s="33"/>
    </row>
    <row r="17" spans="1:7" ht="21.75" customHeight="1" x14ac:dyDescent="0.25">
      <c r="A17" s="39" t="s">
        <v>9</v>
      </c>
      <c r="B17" s="39"/>
      <c r="C17" s="30">
        <f>IF('Income Statement'!B10=0,"",SUM(C9:C15))</f>
        <v>0.88122715192590628</v>
      </c>
      <c r="D17" s="30">
        <f>IF('Income Statement'!D10=0,"",SUM(D9:D15))</f>
        <v>0.69508068332044315</v>
      </c>
      <c r="E17" s="30">
        <f>IF('Income Statement'!F10=0,"",SUM(E9:E15))</f>
        <v>1.2857730809035239</v>
      </c>
      <c r="F17" s="11" t="str">
        <f>IF('Income Statement'!H10=0,"",SUM(F9:F15))</f>
        <v/>
      </c>
      <c r="G17" s="11" t="str">
        <f>IF('Income Statement'!J10=0,"",SUM(G9:G15))</f>
        <v/>
      </c>
    </row>
    <row r="18" spans="1:7" ht="21.75" customHeight="1" x14ac:dyDescent="0.25">
      <c r="A18" s="39"/>
      <c r="B18" s="39"/>
      <c r="C18" s="11"/>
      <c r="D18" s="11"/>
      <c r="E18" s="11"/>
      <c r="F18" s="11"/>
      <c r="G18" s="11"/>
    </row>
    <row r="19" spans="1:7" ht="15.75" x14ac:dyDescent="0.25">
      <c r="A19" s="39"/>
      <c r="B19" s="39"/>
      <c r="C19" s="11"/>
      <c r="D19" s="11"/>
      <c r="E19" s="11"/>
      <c r="F19" s="11"/>
      <c r="G19" s="33"/>
    </row>
    <row r="20" spans="1:7" ht="24" customHeight="1" x14ac:dyDescent="0.25">
      <c r="A20" s="39"/>
      <c r="B20" s="39"/>
      <c r="C20" s="83" t="s">
        <v>63</v>
      </c>
      <c r="D20" s="84"/>
      <c r="E20" s="84"/>
      <c r="F20" s="84"/>
      <c r="G20" s="84"/>
    </row>
    <row r="21" spans="1:7" ht="16.5" customHeight="1" x14ac:dyDescent="0.25">
      <c r="A21" s="33"/>
      <c r="B21" s="40"/>
      <c r="C21" s="69" t="str">
        <f>IF(F17="",IF('Income Statement'!F10=0,"",IF(E17&gt;=2.6,"The company is in good shape",IF(E17&gt;=1.1,"Be alert - exercise caution","Very high probability of failure"))),"")</f>
        <v>Be alert - exercise caution</v>
      </c>
      <c r="D21" s="79"/>
      <c r="E21" s="79"/>
      <c r="F21" s="79"/>
      <c r="G21" s="79"/>
    </row>
    <row r="22" spans="1:7" ht="18.75" customHeight="1" x14ac:dyDescent="0.25">
      <c r="A22" s="41"/>
      <c r="B22" s="39"/>
      <c r="C22" s="69" t="str">
        <f>IF(G17="",IF('Income Statement'!H10=0,"",IF(F17&gt;=2.6,"The company is in good shape",IF(F17&gt;=1.1,"Be alert - exercise caution","Very high probability of failure"))),"")</f>
        <v/>
      </c>
      <c r="D22" s="79"/>
      <c r="E22" s="79"/>
      <c r="F22" s="79"/>
      <c r="G22" s="79"/>
    </row>
    <row r="23" spans="1:7" ht="17.25" customHeight="1" x14ac:dyDescent="0.25">
      <c r="A23" s="42" t="s">
        <v>82</v>
      </c>
      <c r="B23" s="39"/>
      <c r="C23" s="69" t="str">
        <f>IF(H18="",IF('Income Statement'!J10=0,"",IF(G18&gt;=2.6,"The company is in good shape",IF(G18&gt;=1.1,"Be alert - exercise caution","Very high probability of failure"))),"")</f>
        <v/>
      </c>
      <c r="D23" s="79"/>
      <c r="E23" s="79"/>
      <c r="F23" s="79"/>
      <c r="G23" s="79"/>
    </row>
    <row r="24" spans="1:7" ht="15.75" x14ac:dyDescent="0.25">
      <c r="A24" s="39"/>
      <c r="B24" s="39"/>
      <c r="C24" s="11"/>
      <c r="D24" s="11"/>
      <c r="E24" s="11"/>
      <c r="F24" s="11"/>
      <c r="G24" s="33"/>
    </row>
    <row r="25" spans="1:7" ht="15.75" x14ac:dyDescent="0.25">
      <c r="A25" s="39"/>
      <c r="B25" s="39"/>
      <c r="C25" s="11"/>
      <c r="D25" s="11"/>
      <c r="E25" s="11"/>
      <c r="F25" s="11"/>
      <c r="G25" s="33"/>
    </row>
    <row r="26" spans="1:7" ht="16.5" customHeight="1" x14ac:dyDescent="0.25">
      <c r="A26" s="39"/>
      <c r="B26" s="39"/>
      <c r="C26" s="11"/>
      <c r="D26" s="11"/>
      <c r="E26" s="11"/>
      <c r="F26" s="11"/>
      <c r="G26" s="33"/>
    </row>
    <row r="27" spans="1:7" ht="21" customHeight="1" x14ac:dyDescent="0.25">
      <c r="A27" s="43" t="s">
        <v>64</v>
      </c>
      <c r="B27" s="88" t="s">
        <v>65</v>
      </c>
      <c r="C27" s="89"/>
      <c r="D27" s="89"/>
      <c r="E27" s="90"/>
      <c r="F27" s="11"/>
      <c r="G27" s="33"/>
    </row>
    <row r="28" spans="1:7" ht="18.75" customHeight="1" x14ac:dyDescent="0.25">
      <c r="A28" s="44" t="s">
        <v>66</v>
      </c>
      <c r="B28" s="91" t="s">
        <v>67</v>
      </c>
      <c r="C28" s="92"/>
      <c r="D28" s="92"/>
      <c r="E28" s="93"/>
      <c r="F28" s="11"/>
      <c r="G28" s="33"/>
    </row>
    <row r="29" spans="1:7" ht="18.75" customHeight="1" x14ac:dyDescent="0.25">
      <c r="A29" s="44" t="s">
        <v>68</v>
      </c>
      <c r="B29" s="91" t="s">
        <v>69</v>
      </c>
      <c r="C29" s="92"/>
      <c r="D29" s="92"/>
      <c r="E29" s="93"/>
      <c r="F29" s="11"/>
      <c r="G29" s="33"/>
    </row>
    <row r="30" spans="1:7" ht="18.75" customHeight="1" x14ac:dyDescent="0.2">
      <c r="A30" s="45" t="s">
        <v>70</v>
      </c>
      <c r="B30" s="85" t="s">
        <v>71</v>
      </c>
      <c r="C30" s="86"/>
      <c r="D30" s="86"/>
      <c r="E30" s="87"/>
      <c r="F30" s="33"/>
      <c r="G30" s="33"/>
    </row>
    <row r="31" spans="1:7" x14ac:dyDescent="0.2">
      <c r="A31" s="46"/>
      <c r="B31" s="46"/>
      <c r="C31" s="46"/>
      <c r="D31" s="46"/>
      <c r="E31" s="46"/>
      <c r="F31" s="33"/>
      <c r="G31" s="33"/>
    </row>
    <row r="34" spans="1:2" x14ac:dyDescent="0.2">
      <c r="A34" s="18"/>
      <c r="B34" s="18"/>
    </row>
    <row r="35" spans="1:2" x14ac:dyDescent="0.2">
      <c r="A35" s="19"/>
      <c r="B35" s="19"/>
    </row>
  </sheetData>
  <sheetProtection password="EFE6" sheet="1" objects="1" scenarios="1"/>
  <mergeCells count="12">
    <mergeCell ref="B30:E30"/>
    <mergeCell ref="B27:E27"/>
    <mergeCell ref="B28:E28"/>
    <mergeCell ref="B29:E29"/>
    <mergeCell ref="A2:E2"/>
    <mergeCell ref="A3:E3"/>
    <mergeCell ref="A1:E1"/>
    <mergeCell ref="A4:E4"/>
    <mergeCell ref="C23:G23"/>
    <mergeCell ref="C21:G21"/>
    <mergeCell ref="C20:G20"/>
    <mergeCell ref="C22:G22"/>
  </mergeCells>
  <phoneticPr fontId="0" type="noConversion"/>
  <printOptions horizontalCentered="1"/>
  <pageMargins left="0.5" right="0.5" top="0.75" bottom="1" header="0.5" footer="0.5"/>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Income Statement</vt:lpstr>
      <vt:lpstr>Balance Sheet</vt:lpstr>
      <vt:lpstr>Altman Z-Score</vt:lpstr>
      <vt:lpstr>'Income Statement'!Print_Area</vt:lpstr>
      <vt:lpstr>Introduction!Print_Area</vt:lpstr>
      <vt:lpstr>Introduction!TABLE</vt:lpstr>
      <vt:lpstr>Introduction!TABLE_2</vt:lpstr>
      <vt:lpstr>Introduction!TABLE_3</vt:lpstr>
    </vt:vector>
  </TitlesOfParts>
  <Company>SACM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Credit analysis Package</dc:title>
  <dc:creator>David H</dc:creator>
  <cp:lastModifiedBy>David How</cp:lastModifiedBy>
  <cp:lastPrinted>2005-08-29T06:32:15Z</cp:lastPrinted>
  <dcterms:created xsi:type="dcterms:W3CDTF">1998-06-24T13:55:47Z</dcterms:created>
  <dcterms:modified xsi:type="dcterms:W3CDTF">2019-07-28T08:33:21Z</dcterms:modified>
</cp:coreProperties>
</file>